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updateLinks="never" defaultThemeVersion="166925"/>
  <mc:AlternateContent xmlns:mc="http://schemas.openxmlformats.org/markup-compatibility/2006">
    <mc:Choice Requires="x15">
      <x15ac:absPath xmlns:x15ac="http://schemas.microsoft.com/office/spreadsheetml/2010/11/ac" url="\\LYN264DF\m306234$\SST\Calculators Commission\Final Calculators\Post Roll out Revisions - v2 calculators\"/>
    </mc:Choice>
  </mc:AlternateContent>
  <xr:revisionPtr revIDLastSave="0" documentId="8_{36304339-600D-4052-98BE-AA5CAA0AE4B8}" xr6:coauthVersionLast="47" xr6:coauthVersionMax="47" xr10:uidLastSave="{00000000-0000-0000-0000-000000000000}"/>
  <workbookProtection workbookAlgorithmName="SHA-512" workbookHashValue="c1gb6x/mq2XMS9MQPRyZUbWJrb2kC7sgl0EpOzFNrF5+fkXjlghSVYW1u4rph5ptMi7vr9J3GX4JJHg42nBVmQ==" workbookSaltValue="wYPQjjFENbaZ8t2qOYd5IQ==" workbookSpinCount="100000" lockStructure="1"/>
  <bookViews>
    <workbookView xWindow="-120" yWindow="-120" windowWidth="20730" windowHeight="11160" xr2:uid="{82A04952-E2FF-4A89-87AE-39010027FF5F}"/>
  </bookViews>
  <sheets>
    <sheet name="Intro" sheetId="6" r:id="rId1"/>
    <sheet name="Background" sheetId="16" r:id="rId2"/>
    <sheet name="Teesmouth &amp; Cleveland Coast SPA" sheetId="15" r:id="rId3"/>
    <sheet name="Instructions" sheetId="17" r:id="rId4"/>
    <sheet name="Development site details" sheetId="2" r:id="rId5"/>
    <sheet name="Stage 1" sheetId="7" r:id="rId6"/>
    <sheet name="Stage 2" sheetId="8" r:id="rId7"/>
    <sheet name="Stage 3" sheetId="9" r:id="rId8"/>
    <sheet name="Stage 4" sheetId="10" r:id="rId9"/>
    <sheet name="Stage 4 (2)" sheetId="13" state="hidden" r:id="rId10"/>
    <sheet name="Lookups" sheetId="3" r:id="rId11"/>
  </sheets>
  <externalReferences>
    <externalReference r:id="rId1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98" i="3" l="1"/>
  <c r="O106" i="3"/>
  <c r="O110" i="3"/>
  <c r="O113" i="3"/>
  <c r="O117" i="3"/>
  <c r="O120" i="3"/>
  <c r="O123" i="3"/>
  <c r="O126" i="3"/>
  <c r="O132" i="3"/>
  <c r="N98" i="3"/>
  <c r="N117" i="3"/>
  <c r="N120" i="3"/>
  <c r="N123" i="3"/>
  <c r="N126" i="3"/>
  <c r="N132" i="3"/>
  <c r="N113" i="3"/>
  <c r="N110" i="3"/>
  <c r="N106" i="3"/>
  <c r="M252" i="3"/>
  <c r="M254" i="3"/>
  <c r="M256" i="3"/>
  <c r="M259" i="3"/>
  <c r="M262" i="3"/>
  <c r="M265" i="3"/>
  <c r="M268" i="3"/>
  <c r="M269" i="3"/>
  <c r="M272" i="3"/>
  <c r="M273" i="3"/>
  <c r="M276" i="3"/>
  <c r="M277" i="3"/>
  <c r="M280" i="3"/>
  <c r="M282" i="3"/>
  <c r="M285" i="3"/>
  <c r="M286" i="3"/>
  <c r="M288" i="3"/>
  <c r="M290" i="3"/>
  <c r="M292" i="3"/>
  <c r="M293" i="3"/>
  <c r="M295" i="3"/>
  <c r="M296" i="3"/>
  <c r="M297" i="3"/>
  <c r="M298" i="3"/>
  <c r="M301" i="3"/>
  <c r="M303" i="3"/>
  <c r="M304" i="3"/>
  <c r="M305" i="3"/>
  <c r="M307" i="3"/>
  <c r="M310" i="3"/>
  <c r="M312" i="3"/>
  <c r="M314" i="3"/>
  <c r="M315" i="3"/>
  <c r="M317" i="3"/>
  <c r="M319" i="3"/>
  <c r="L319" i="3"/>
  <c r="L317" i="3"/>
  <c r="L315" i="3"/>
  <c r="L314" i="3"/>
  <c r="L312" i="3"/>
  <c r="L310" i="3"/>
  <c r="L307" i="3"/>
  <c r="L305" i="3"/>
  <c r="L304" i="3"/>
  <c r="L303" i="3"/>
  <c r="L301" i="3"/>
  <c r="L298" i="3"/>
  <c r="L297" i="3"/>
  <c r="L296" i="3"/>
  <c r="L295" i="3"/>
  <c r="L293" i="3"/>
  <c r="L292" i="3"/>
  <c r="L290" i="3"/>
  <c r="L288" i="3"/>
  <c r="L286" i="3"/>
  <c r="L285" i="3"/>
  <c r="L282" i="3"/>
  <c r="L280" i="3"/>
  <c r="L277" i="3"/>
  <c r="L276" i="3"/>
  <c r="L273" i="3"/>
  <c r="L272" i="3"/>
  <c r="L269" i="3"/>
  <c r="L268" i="3"/>
  <c r="L265" i="3"/>
  <c r="L262" i="3"/>
  <c r="L259" i="3"/>
  <c r="L256" i="3"/>
  <c r="L254" i="3"/>
  <c r="L252" i="3"/>
  <c r="L244" i="3"/>
  <c r="L99" i="3"/>
  <c r="K280" i="3"/>
  <c r="K281" i="3"/>
  <c r="K282" i="3"/>
  <c r="K283" i="3"/>
  <c r="K284" i="3"/>
  <c r="K285" i="3"/>
  <c r="K286" i="3"/>
  <c r="K287" i="3"/>
  <c r="K288" i="3"/>
  <c r="K289" i="3"/>
  <c r="K290" i="3"/>
  <c r="K291" i="3"/>
  <c r="K292" i="3"/>
  <c r="K293" i="3"/>
  <c r="K294" i="3"/>
  <c r="K295" i="3"/>
  <c r="K296" i="3"/>
  <c r="K297" i="3"/>
  <c r="K298" i="3"/>
  <c r="K299" i="3"/>
  <c r="K300" i="3"/>
  <c r="K301" i="3"/>
  <c r="K302" i="3"/>
  <c r="K303" i="3"/>
  <c r="K304" i="3"/>
  <c r="K305" i="3"/>
  <c r="K306" i="3"/>
  <c r="K307" i="3"/>
  <c r="K308" i="3"/>
  <c r="K309" i="3"/>
  <c r="K310" i="3"/>
  <c r="K311" i="3"/>
  <c r="K312" i="3"/>
  <c r="K313" i="3"/>
  <c r="K314" i="3"/>
  <c r="K315" i="3"/>
  <c r="K316" i="3"/>
  <c r="K317" i="3"/>
  <c r="K318" i="3"/>
  <c r="K31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K254" i="3"/>
  <c r="K255" i="3"/>
  <c r="K256" i="3"/>
  <c r="K257" i="3"/>
  <c r="K258" i="3"/>
  <c r="K259" i="3"/>
  <c r="K260" i="3"/>
  <c r="K261" i="3"/>
  <c r="K262" i="3"/>
  <c r="K263" i="3"/>
  <c r="K264" i="3"/>
  <c r="K265" i="3"/>
  <c r="K266" i="3"/>
  <c r="K267" i="3"/>
  <c r="K268" i="3"/>
  <c r="K269" i="3"/>
  <c r="K270" i="3"/>
  <c r="K271" i="3"/>
  <c r="K272" i="3"/>
  <c r="K273" i="3"/>
  <c r="K274" i="3"/>
  <c r="K275" i="3"/>
  <c r="K276" i="3"/>
  <c r="K277" i="3"/>
  <c r="K278" i="3"/>
  <c r="K279"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L179" i="3" l="1"/>
  <c r="H99" i="3" l="1"/>
  <c r="H100" i="3"/>
  <c r="H101" i="3"/>
  <c r="H102" i="3"/>
  <c r="H103" i="3"/>
  <c r="H104" i="3"/>
  <c r="H105" i="3"/>
  <c r="H106" i="3"/>
  <c r="H107" i="3"/>
  <c r="H108" i="3"/>
  <c r="H109" i="3"/>
  <c r="H110" i="3"/>
  <c r="H111" i="3"/>
  <c r="H112" i="3"/>
  <c r="H113" i="3"/>
  <c r="H114" i="3"/>
  <c r="E17" i="8" s="1"/>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98" i="3"/>
  <c r="E22" i="8"/>
  <c r="E23" i="8"/>
  <c r="E24" i="8"/>
  <c r="E25" i="8"/>
  <c r="E26" i="8"/>
  <c r="E31" i="8"/>
  <c r="E12" i="9"/>
  <c r="E13" i="9"/>
  <c r="E18" i="9"/>
  <c r="E19" i="9"/>
  <c r="E20" i="9"/>
  <c r="E21" i="9"/>
  <c r="E22" i="9"/>
  <c r="E23" i="9"/>
  <c r="E24" i="9"/>
  <c r="E25" i="9"/>
  <c r="E26" i="9"/>
  <c r="E15" i="8" l="1"/>
  <c r="E21" i="8"/>
  <c r="E20" i="8"/>
  <c r="E16" i="8"/>
  <c r="E10" i="9"/>
  <c r="E19" i="8"/>
  <c r="E18" i="8"/>
  <c r="J435" i="3"/>
  <c r="I435" i="3"/>
  <c r="E30" i="8" l="1"/>
  <c r="E17" i="9"/>
  <c r="M98" i="3"/>
  <c r="M99" i="3"/>
  <c r="M105" i="3"/>
  <c r="M106" i="3"/>
  <c r="M110" i="3"/>
  <c r="M113" i="3"/>
  <c r="M117" i="3"/>
  <c r="M120" i="3"/>
  <c r="M123" i="3"/>
  <c r="M126" i="3"/>
  <c r="M127" i="3"/>
  <c r="M132" i="3"/>
  <c r="M136" i="3"/>
  <c r="M137" i="3"/>
  <c r="M142" i="3"/>
  <c r="M148" i="3"/>
  <c r="M149" i="3"/>
  <c r="M153" i="3"/>
  <c r="M158" i="3"/>
  <c r="M160" i="3"/>
  <c r="M163" i="3"/>
  <c r="M166" i="3"/>
  <c r="M167" i="3"/>
  <c r="M170" i="3"/>
  <c r="M173" i="3"/>
  <c r="M177" i="3"/>
  <c r="M179" i="3"/>
  <c r="M180" i="3"/>
  <c r="M184" i="3"/>
  <c r="M189" i="3"/>
  <c r="M191" i="3"/>
  <c r="M195" i="3"/>
  <c r="M200" i="3"/>
  <c r="M201" i="3"/>
  <c r="M203" i="3"/>
  <c r="M205" i="3"/>
  <c r="M207" i="3"/>
  <c r="M209" i="3"/>
  <c r="M210" i="3"/>
  <c r="M212" i="3"/>
  <c r="M214" i="3"/>
  <c r="M217" i="3"/>
  <c r="M218" i="3"/>
  <c r="M219" i="3"/>
  <c r="M221" i="3"/>
  <c r="M223" i="3"/>
  <c r="M225" i="3"/>
  <c r="M227" i="3"/>
  <c r="M232" i="3"/>
  <c r="M233" i="3"/>
  <c r="M236" i="3"/>
  <c r="M240" i="3"/>
  <c r="M242" i="3"/>
  <c r="M243" i="3"/>
  <c r="M244" i="3"/>
  <c r="M248" i="3"/>
  <c r="M249" i="3"/>
  <c r="L249" i="3"/>
  <c r="L248" i="3"/>
  <c r="L243" i="3"/>
  <c r="L242" i="3"/>
  <c r="L240" i="3"/>
  <c r="L236" i="3"/>
  <c r="L233" i="3"/>
  <c r="L232" i="3"/>
  <c r="L227" i="3"/>
  <c r="L225" i="3"/>
  <c r="L223" i="3"/>
  <c r="L221" i="3"/>
  <c r="L219" i="3"/>
  <c r="L218" i="3"/>
  <c r="L217" i="3"/>
  <c r="L214" i="3"/>
  <c r="L212" i="3"/>
  <c r="L210" i="3"/>
  <c r="L209" i="3"/>
  <c r="L207" i="3"/>
  <c r="L205" i="3"/>
  <c r="L203" i="3"/>
  <c r="L201" i="3"/>
  <c r="L200" i="3"/>
  <c r="L195" i="3"/>
  <c r="L191" i="3"/>
  <c r="L189" i="3"/>
  <c r="L184" i="3"/>
  <c r="L177" i="3"/>
  <c r="L173" i="3"/>
  <c r="L170" i="3"/>
  <c r="L180" i="3"/>
  <c r="L167" i="3"/>
  <c r="L166" i="3"/>
  <c r="L163" i="3"/>
  <c r="L160" i="3"/>
  <c r="L158" i="3"/>
  <c r="L153" i="3"/>
  <c r="L149" i="3"/>
  <c r="L148" i="3"/>
  <c r="L142" i="3"/>
  <c r="L137" i="3"/>
  <c r="L136" i="3"/>
  <c r="L132" i="3"/>
  <c r="L127" i="3"/>
  <c r="L126" i="3"/>
  <c r="L123" i="3"/>
  <c r="L120" i="3"/>
  <c r="L117" i="3"/>
  <c r="L113" i="3"/>
  <c r="L110" i="3"/>
  <c r="L106" i="3"/>
  <c r="L105" i="3"/>
  <c r="L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228" i="3"/>
  <c r="K229" i="3"/>
  <c r="K230" i="3"/>
  <c r="K231" i="3"/>
  <c r="K232" i="3"/>
  <c r="K233" i="3"/>
  <c r="K234" i="3"/>
  <c r="K235" i="3"/>
  <c r="K236" i="3"/>
  <c r="K237" i="3"/>
  <c r="K238" i="3"/>
  <c r="K239" i="3"/>
  <c r="K240" i="3"/>
  <c r="K241" i="3"/>
  <c r="K242" i="3"/>
  <c r="K243" i="3"/>
  <c r="K244" i="3"/>
  <c r="K245" i="3"/>
  <c r="K246" i="3"/>
  <c r="K247" i="3"/>
  <c r="K248" i="3"/>
  <c r="K249" i="3"/>
  <c r="K250" i="3"/>
  <c r="K251" i="3"/>
  <c r="K252" i="3"/>
  <c r="K253" i="3"/>
  <c r="K98"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320" i="3"/>
  <c r="J439" i="3" l="1"/>
  <c r="E11" i="9" s="1"/>
  <c r="E27" i="8" l="1"/>
  <c r="E14" i="9"/>
  <c r="C21" i="10"/>
  <c r="F21" i="10"/>
  <c r="F29" i="10"/>
  <c r="F22" i="10"/>
  <c r="G22" i="7"/>
  <c r="G20" i="7"/>
  <c r="C20" i="7"/>
  <c r="G10" i="7"/>
  <c r="F15" i="7"/>
  <c r="H15" i="7"/>
  <c r="H14" i="7"/>
  <c r="F14" i="7"/>
  <c r="G14" i="7"/>
  <c r="G15" i="7"/>
  <c r="I22" i="7"/>
  <c r="D14" i="7"/>
  <c r="D22" i="7"/>
  <c r="D23" i="7" s="1"/>
  <c r="D26" i="7" l="1"/>
  <c r="J441" i="3"/>
  <c r="J440" i="3"/>
  <c r="I440" i="3"/>
  <c r="I441" i="3"/>
  <c r="I439" i="3"/>
  <c r="D15" i="7"/>
  <c r="H441" i="3"/>
  <c r="H440" i="3"/>
  <c r="H439" i="3"/>
  <c r="H438" i="3"/>
  <c r="H437" i="3"/>
  <c r="H436" i="3"/>
  <c r="H435" i="3"/>
  <c r="H434" i="3"/>
  <c r="E28" i="8" l="1"/>
  <c r="E15" i="9"/>
  <c r="E29" i="8"/>
  <c r="E16" i="9"/>
  <c r="D32" i="7"/>
  <c r="D33" i="7" s="1"/>
  <c r="H22" i="7"/>
  <c r="G22" i="10"/>
  <c r="D27" i="7"/>
  <c r="E32" i="8" l="1"/>
  <c r="E27" i="9"/>
  <c r="G28" i="10"/>
  <c r="D11" i="10"/>
  <c r="D34" i="7"/>
  <c r="D35" i="7" s="1"/>
  <c r="D28" i="7"/>
  <c r="C27" i="13"/>
  <c r="D17" i="10" l="1"/>
  <c r="C16" i="13"/>
  <c r="D16" i="10"/>
  <c r="C15" i="13"/>
  <c r="D18" i="10" l="1"/>
  <c r="D19" i="10" s="1"/>
  <c r="D28" i="10" s="1"/>
  <c r="C17" i="13"/>
  <c r="C18" i="13" s="1"/>
  <c r="F29" i="13" s="1"/>
  <c r="D27" i="9"/>
  <c r="D32" i="8"/>
  <c r="D29" i="7"/>
  <c r="D10" i="10" l="1"/>
  <c r="D12" i="10" s="1"/>
  <c r="D13" i="10" s="1"/>
  <c r="D22" i="10" s="1"/>
  <c r="C24" i="13"/>
  <c r="C30" i="13" s="1"/>
  <c r="C33" i="13" s="1"/>
  <c r="H11" i="13" l="1"/>
  <c r="F24" i="13"/>
</calcChain>
</file>

<file path=xl/sharedStrings.xml><?xml version="1.0" encoding="utf-8"?>
<sst xmlns="http://schemas.openxmlformats.org/spreadsheetml/2006/main" count="1779" uniqueCount="335">
  <si>
    <r>
      <rPr>
        <b/>
        <i/>
        <sz val="8"/>
        <color theme="2" tint="-0.249977111117893"/>
        <rFont val="Calibri"/>
        <family val="2"/>
        <scheme val="minor"/>
      </rPr>
      <t>Image Source:</t>
    </r>
    <r>
      <rPr>
        <i/>
        <sz val="8"/>
        <color theme="2" tint="-0.249977111117893"/>
        <rFont val="Calibri"/>
        <family val="2"/>
        <scheme val="minor"/>
      </rPr>
      <t xml:space="preserve">
Oliver Dixon
Reflections in the River Tees, The reach below Primrose Hill Farm, looking upstream.</t>
    </r>
    <r>
      <rPr>
        <sz val="8"/>
        <color theme="2" tint="-0.249977111117893"/>
        <rFont val="Calibri"/>
        <family val="2"/>
        <scheme val="minor"/>
      </rPr>
      <t xml:space="preserve">
Copyright: © Oliver Dixon 2019</t>
    </r>
  </si>
  <si>
    <t>Background</t>
  </si>
  <si>
    <t xml:space="preserve">There have been a series of court cases in recent years relating to how new plans or projects interact with the Habitats Regulations process where there are existing high levels of background nutrients. These decisions have led Natural England to review its advice on water quality effects on Habitats sites.  </t>
  </si>
  <si>
    <t xml:space="preserve">The additional nutrient load from the increase in wastewater and/or the change in the land use of the development land created by a new residential development can create an impact pathway for potential negative effects on Habitats sites that are already suffering from problems related to nutrient loading. This impact pathway is shown diagrammatically in Figure 1.  </t>
  </si>
  <si>
    <t xml:space="preserve">Habitats Regulations Assessments (HRAs) of new residential developments need to consider whether nutrient loading will result in ‘Likely Significant Effects’ (LSE) on a Habitats site.  If an HRA finds LSE due to nutrient loading,  the Appropriate Assessment will need to consider whether this nutrient load needs to be mitigated in order to remove adverse effects on the Habitats site.  </t>
  </si>
  <si>
    <t xml:space="preserve">The first step in an HRA involving nutrient neutrality is understanding both whether a residential development will need mitigation to achieve nutrient neutrality and, if so, the amount of nutrients that require mitigating on an annual basis.  In order to understand the amount of nutrients a new residential development will create, a nutrient budget for the development is required.  </t>
  </si>
  <si>
    <r>
      <t>This tool provides a step-by-step approach to calculating the nutrient budget for a new residential development.  Before a nutrient budget can be completed using the methodology, certain site-specific details for the Habitats Site in question need to be determined.  The required details for each stage of the nutrient budget methodology are shown in the instructions tab, with an associated guidance document that informs users of this calculator how to generate certain inputs to the calculator.</t>
    </r>
    <r>
      <rPr>
        <sz val="12"/>
        <color rgb="FF000000"/>
        <rFont val="Arial"/>
        <family val="2"/>
      </rPr>
      <t xml:space="preserve"> </t>
    </r>
  </si>
  <si>
    <t>Teesmouth and Cleveland Coast Special Protection Area (SPA) and Ramsar</t>
  </si>
  <si>
    <t xml:space="preserve">Teesmouth and Cleveland Coast Ramsar and SPA are Habitats sites with water pollution and eutrophication considered a threat to its condition.  </t>
  </si>
  <si>
    <t xml:space="preserve">The sites cover a complex of coastal habitats centred on the Tees estuary in the north-east of England. This includes habitats such as sandflats, mudflats, rocky foreshore, saltmarsh, sand dunes, wet grassland and freshwater lagoons. </t>
  </si>
  <si>
    <t xml:space="preserve">These habitats support internationally important populations of breeding and non-breeding waterbirds. This includes breeding Little tern, passage Sandwich tern, wintering Knot and Redshank and an assemblage of over 20,000 wintering waterbirds. In addition, there is an internationally important population of Ringed plover. The sites also supports a rich assemblage of invertebrates. </t>
  </si>
  <si>
    <t>The SPA is a complex of discrete sites, with additional non-designated areas also used by the birds for foraging and roosting.</t>
  </si>
  <si>
    <t xml:space="preserve">The area has been highly modified by human activities, with over 90% of intertidal habitats lost to land claim. </t>
  </si>
  <si>
    <t xml:space="preserve">Increased levels of nitrogen and phosphorous entering aquatic environments via surface water and groundwater can severely threaten these sensitive habitats and species within the site. The elevated levels of nutrients can cause eutrophication, leading to algal blooms which disrupt normal ecosystem function and cause major changes in the aquatic community. These algal blooms can result in reduced levels of oxygen within the water, which in turn can lead to the death of many aquatic organisms including invertebrates and fish. </t>
  </si>
  <si>
    <t>The species within Teesmouth and Cleveland Coast that result in designation as an SPA and Ramsar are referred to a ‘qualifying features.’ Not all of these qualifying features will be sensitive to changes in nutrients within the site. When completing an HRA involving nutrient neutrality, the Competent Authority (normally Local Planning Authority for developments) must identify and screen out qualifying features that are not sensitive to nutrients via a Habitats Regulations Assessment.  Developers will be asked to submit information to support this process.</t>
  </si>
  <si>
    <t xml:space="preserve">More detailed information on the qualifying features of the SPA and Ramsar, and details of water quality data highlighting the current nutrient problems in the site are available in the Natural England Teesmouth and Cleveland Coast SPA and Ramsar evidence summary. </t>
  </si>
  <si>
    <t>Instructions</t>
  </si>
  <si>
    <t>The nutrient budget for a site is calculated in four stages, with each stage implemented in the following worksheets.</t>
  </si>
  <si>
    <t>1. General tips:</t>
  </si>
  <si>
    <t xml:space="preserve">Key: </t>
  </si>
  <si>
    <t>Values to be entered by the user</t>
  </si>
  <si>
    <t>Fixed or calculated values</t>
  </si>
  <si>
    <t>Lookup tables</t>
  </si>
  <si>
    <t>When a cell is selected, instructions are shown on how to fill out the cell:</t>
  </si>
  <si>
    <r>
      <t>It is advisable to retain a blank copy of this workbook and "Save as" a new copy each time you calculate a budget, in case of any mistakes in data inputs or to ease calculation of new nutrient budgets .</t>
    </r>
    <r>
      <rPr>
        <b/>
        <sz val="11"/>
        <color rgb="FF000000"/>
        <rFont val="Arial"/>
        <family val="2"/>
      </rPr>
      <t xml:space="preserve"> </t>
    </r>
  </si>
  <si>
    <t xml:space="preserve">Note: </t>
  </si>
  <si>
    <t xml:space="preserve">The values already included in this tool have been chosen based on research to determine suitable inputs to the nutrient budget that meet the HRA tests of beyond reasonable scientific doubt, in perpetuity (practically speaking this is 80-125 years) and in accordance with the precautionary principle. If editing any values in this tool, you must make sure there is a sufficient evidence base to justify these changes and that the new inputs are selected in accordance with the precautionary principle.  </t>
  </si>
  <si>
    <t>2. Stage specific instructions:</t>
  </si>
  <si>
    <t>2.1 Stage 1: calculate the new nutrient load associated with the additional wastewater:</t>
  </si>
  <si>
    <t xml:space="preserve">In this section the user will need to enter: </t>
  </si>
  <si>
    <t>The date of first occupancy. This is because some wastewater treatment works (WwTW) may be due an upgrade in 2025 which will change the nutrient concentration permit values. This will be shown through two values for the permits and nutrients load from before and after the upgrade.</t>
  </si>
  <si>
    <t>The average occupancy rate of the development will need to be entered. The default setting is the national occupancy rate of 2.4 people per dwelling/unit. Only change this value if there is sufficient evidence that the development will be different to the national average.</t>
  </si>
  <si>
    <t>The number of dwellings/units that will be in the development at the time of completion.</t>
  </si>
  <si>
    <t>The receiving WwTW that the development will drain to. If it is uncertain what WwTW the site will drain to, please find this information from your sewerage company before completing the calculator. If it is not feasable to connect to a WwTW and a septic tank or package treatment plant is being used, please select this option. Please be aware that if the total nitrogen (TN) final effluent concentrations (in mg/l) are specified by the manufacturer, please select 'Septic Tank user defined' or 'Package Treatment Plant user defined' and enter the manufacturer specified value in the cell where prompted.</t>
  </si>
  <si>
    <t>2.2 Stage 2 - calculate the annual nutrient load from existing (pre development) land use on the development site:</t>
  </si>
  <si>
    <t>In this section some environmental information about the development will need to be entered as well as the type(s) and area(s) of landcover on the development site. Only landcovers for the land that is being altered by the development should be entered.</t>
  </si>
  <si>
    <t>The drop down list of landcover types contains seven agricultural landcover types and eight different non-agricultural landcover types that may be present in the development. Please find out what landcover types are within the development before completing this tool. If there is a landcover within the development area that is not in the list please select the most similar landcover type.</t>
  </si>
  <si>
    <t>The instructions at the bottom of this page detail how to find the environmental information for the site if it is unknown.</t>
  </si>
  <si>
    <t>2.3 Stage 3 - calculate the annual nutrient load from new (post-development) land use on the development site:</t>
  </si>
  <si>
    <t>In this section the user will need to select the type(s) and area(s) of the landcover present on the new site.</t>
  </si>
  <si>
    <t>The drop down list of landcover types contains eight different landcover types that may be present on the development site. Please find out what landcover types will be within the development site before completing this tool. If there is a landcover within the development site that is not in the list please select the most similar landcover type.</t>
  </si>
  <si>
    <t>The guidance document that accompanies this calculator breaks down what is included in each landcover type.</t>
  </si>
  <si>
    <t>2.4 Stage 4 - calculate the net change in nutrient loading for the site and the final annual nutrient budget for the development site:</t>
  </si>
  <si>
    <t>This final stage automatically calculates the results from Stage 1-3 using the equation below.</t>
  </si>
  <si>
    <t>The value(s) shown are how much nutrient mitigation is required in kilograms per year to achieve nutrient neutrality.</t>
  </si>
  <si>
    <t>If there are two values due to changing permits, the calculator will show the total amount of nutrient mitigation that is needed before and after the changing permit date.</t>
  </si>
  <si>
    <t>2.5 The equation used to calculate the nutrient budget:</t>
  </si>
  <si>
    <t>3. Site specific data collection instructions:</t>
  </si>
  <si>
    <t>3.1 Instructions for finding the Operational Catchment that the development is situated within:</t>
  </si>
  <si>
    <t xml:space="preserve">a) Go to this link:  </t>
  </si>
  <si>
    <t xml:space="preserve">http://environment.data.gov.uk/catchment-planning/ </t>
  </si>
  <si>
    <t>b) Search the location by place name, postcode etc. This will give a high-level view of the area. Use the zoom feature to find the exact location of the development.</t>
  </si>
  <si>
    <t>c) Click on the light blue area on the map in which the development is located. This will bring the user to the Operational Catchment page</t>
  </si>
  <si>
    <t>d) Make note of the name of the Operational Catchment and select it from the dropdown list in the relevant cell.</t>
  </si>
  <si>
    <t>3.2 Instructions for finding the drainage associated with the predominant soil type within development site:</t>
  </si>
  <si>
    <t xml:space="preserve">a) Go to this link:   </t>
  </si>
  <si>
    <t xml:space="preserve">http://www.landis.org.uk/soilscapes/#.  </t>
  </si>
  <si>
    <t>b) Find the site location on the map by using the search bar on the right side of the map in the 'Search' tab. Searching an area will generate a pop up window in which you can view the soil information by clicking 'View soil information'. If this is not an option then click on the relevant soil type on the map and click on the 'Soil information' tab on the right hand side of the map, below the 'Search' tab.</t>
  </si>
  <si>
    <t>c) The 'Soil drainage type' value can be found In the 'Soil information' under the title 'Drainage:'</t>
  </si>
  <si>
    <t>d) Make a note of this soil type and select the relevant soil drainage type from the drop down list in the relevant cell.</t>
  </si>
  <si>
    <t>3.3 Instructions for finding the annual average rainfall that the development will receive using the National River Flow Archive:</t>
  </si>
  <si>
    <t>https://nrfa.ceh.ac.uk/data/station/spatial/25005</t>
  </si>
  <si>
    <t>b) This link will bring the user to the Leven at Leven Bridge flow gauge catchment information page.</t>
  </si>
  <si>
    <t>c) Click on the dropdown list next to the title 'Select spatial data type to view:' on the left of the map and select 'Rainfall'. Next select the Legend tab.</t>
  </si>
  <si>
    <t>d) Zoom in on the map to find the location of the development and find the corresponding rainfall range from the Legend.</t>
  </si>
  <si>
    <t xml:space="preserve">e) Select the rainfall band from the drop down list in the table.  If your rainfall band is not in the drop down list, please select the closest band shown in the list.                               </t>
  </si>
  <si>
    <t>3.4 Instructions for finding out whether the development is in a Nitrate Vulnerable Zone (NVZ):</t>
  </si>
  <si>
    <t>a) Go to this link:</t>
  </si>
  <si>
    <t>http://mapapps2.bgs.ac.uk/ukso/home.html?layers=NVZEng</t>
  </si>
  <si>
    <t>b) Enter the location of the development site in the search bar.</t>
  </si>
  <si>
    <t>c) Once the area has been located, click on the map where the development is located to find out if is within an NVZ.</t>
  </si>
  <si>
    <t xml:space="preserve">d) Make note of this and select this in the dropdown list. </t>
  </si>
  <si>
    <t>Development site details</t>
  </si>
  <si>
    <r>
      <t xml:space="preserve">Date </t>
    </r>
    <r>
      <rPr>
        <sz val="11"/>
        <rFont val="Calibri"/>
        <family val="2"/>
        <scheme val="minor"/>
      </rPr>
      <t>(dd/mm/yyyy)</t>
    </r>
    <r>
      <rPr>
        <b/>
        <sz val="11"/>
        <rFont val="Calibri"/>
        <family val="2"/>
        <scheme val="minor"/>
      </rPr>
      <t>:</t>
    </r>
  </si>
  <si>
    <t>Site Name:</t>
  </si>
  <si>
    <t>Planning Application number:</t>
  </si>
  <si>
    <t>Site Address:</t>
  </si>
  <si>
    <t>Stage 1</t>
  </si>
  <si>
    <t>User Inputs</t>
  </si>
  <si>
    <t>Date of first occupancy:</t>
  </si>
  <si>
    <t>Average occupancy rate:</t>
  </si>
  <si>
    <r>
      <t xml:space="preserve">Water usage </t>
    </r>
    <r>
      <rPr>
        <sz val="11"/>
        <rFont val="Arial"/>
        <family val="2"/>
      </rPr>
      <t>(litres/person/day)</t>
    </r>
    <r>
      <rPr>
        <b/>
        <sz val="11"/>
        <rFont val="Arial"/>
        <family val="2"/>
      </rPr>
      <t>:</t>
    </r>
  </si>
  <si>
    <r>
      <t xml:space="preserve">Development Proposal </t>
    </r>
    <r>
      <rPr>
        <sz val="11"/>
        <rFont val="Arial"/>
        <family val="2"/>
      </rPr>
      <t>(dwellings/units)</t>
    </r>
    <r>
      <rPr>
        <b/>
        <sz val="11"/>
        <rFont val="Arial"/>
        <family val="2"/>
      </rPr>
      <t>:</t>
    </r>
  </si>
  <si>
    <t>Wastewater treatment works:</t>
  </si>
  <si>
    <r>
      <t xml:space="preserve">Wastewater treatment works P permit </t>
    </r>
    <r>
      <rPr>
        <sz val="11"/>
        <rFont val="Arial"/>
        <family val="2"/>
      </rPr>
      <t>(mg TP/litre)</t>
    </r>
    <r>
      <rPr>
        <b/>
        <sz val="11"/>
        <rFont val="Arial"/>
        <family val="2"/>
      </rPr>
      <t>:</t>
    </r>
  </si>
  <si>
    <r>
      <t xml:space="preserve">Wastewater treatment works N permit </t>
    </r>
    <r>
      <rPr>
        <sz val="11"/>
        <rFont val="Arial"/>
        <family val="2"/>
      </rPr>
      <t>(mg TN/litre)</t>
    </r>
    <r>
      <rPr>
        <b/>
        <sz val="11"/>
        <rFont val="Arial"/>
        <family val="2"/>
      </rPr>
      <t>:</t>
    </r>
  </si>
  <si>
    <t>Stage 1 Calculated Loading</t>
  </si>
  <si>
    <t>AND($C$9&lt;DATE(2025,1,1),OR((VLOOKUP($C$13,Lookups!$A$9:$E$14,2,FALSE))&gt;(VLOOKUP($C$13,Lookups!$A$9:$E$14,4,FALSE)),(VLOOKUP($C$13,Lookups!$A$9:$E$14,3,FALSE))&gt;(VLOOKUP($C$13,Lookups!$A$9:$E$14,5,FALSE))))</t>
  </si>
  <si>
    <t>Additional population</t>
  </si>
  <si>
    <t>people</t>
  </si>
  <si>
    <t>Wastewater by development</t>
  </si>
  <si>
    <t>litres/day</t>
  </si>
  <si>
    <t>TP discharge from WwTW</t>
  </si>
  <si>
    <t>mg TP/day</t>
  </si>
  <si>
    <t>Convert to kg/TP/d</t>
  </si>
  <si>
    <t>kg TP/day</t>
  </si>
  <si>
    <t>Convert to kg/TP/yr</t>
  </si>
  <si>
    <t>kg TP/yr</t>
  </si>
  <si>
    <t>Annual wastewater TP load</t>
  </si>
  <si>
    <t>TN discharge from WwTW</t>
  </si>
  <si>
    <t>mg TN/day</t>
  </si>
  <si>
    <t>Convert to kg/TN/d</t>
  </si>
  <si>
    <t>kg TN/day</t>
  </si>
  <si>
    <t>Convert to kg/TN/yr</t>
  </si>
  <si>
    <t>kg TN/yr</t>
  </si>
  <si>
    <t>Annual wastewater TN load</t>
  </si>
  <si>
    <t>Stage 2</t>
  </si>
  <si>
    <t>Catchment:</t>
  </si>
  <si>
    <t>Soil drainage type:</t>
  </si>
  <si>
    <r>
      <t xml:space="preserve">Annual average rainfall </t>
    </r>
    <r>
      <rPr>
        <sz val="11"/>
        <rFont val="Arial"/>
        <family val="2"/>
      </rPr>
      <t>(mm)</t>
    </r>
    <r>
      <rPr>
        <b/>
        <sz val="11"/>
        <rFont val="Arial"/>
        <family val="2"/>
      </rPr>
      <t>:</t>
    </r>
  </si>
  <si>
    <t>Within Nitrate Vulnerable Zone (NVZ):</t>
  </si>
  <si>
    <t>Existing land use type(s)</t>
  </si>
  <si>
    <r>
      <t xml:space="preserve">Area </t>
    </r>
    <r>
      <rPr>
        <sz val="11"/>
        <color theme="1"/>
        <rFont val="Arial"/>
        <family val="2"/>
      </rPr>
      <t>(ha)</t>
    </r>
  </si>
  <si>
    <r>
      <t xml:space="preserve">Annual nitrogen nutrient export 
</t>
    </r>
    <r>
      <rPr>
        <sz val="11"/>
        <color theme="1"/>
        <rFont val="Arial"/>
        <family val="2"/>
      </rPr>
      <t>(kg TN)</t>
    </r>
  </si>
  <si>
    <t>Total:</t>
  </si>
  <si>
    <t>Stage 3</t>
  </si>
  <si>
    <t>New land use type(s)</t>
  </si>
  <si>
    <r>
      <t xml:space="preserve">Annual nitrogen nutrient export
</t>
    </r>
    <r>
      <rPr>
        <sz val="11"/>
        <color theme="1"/>
        <rFont val="Arial"/>
        <family val="2"/>
      </rPr>
      <t>(kg TN)</t>
    </r>
  </si>
  <si>
    <t>Stage 4</t>
  </si>
  <si>
    <t>Calculated Outputs</t>
  </si>
  <si>
    <t>P loading to WwTW:</t>
  </si>
  <si>
    <t>Net land use P change:</t>
  </si>
  <si>
    <t>P budget:</t>
  </si>
  <si>
    <t>P budget + 20% buffer:</t>
  </si>
  <si>
    <t>N loading to WwTW:</t>
  </si>
  <si>
    <t>Net land use N change:</t>
  </si>
  <si>
    <t>N budget:</t>
  </si>
  <si>
    <t>N budget + 20% buffer:</t>
  </si>
  <si>
    <t>The total annual phosphorus load to mitigate is:</t>
  </si>
  <si>
    <t>The total annual nitrogen load to mitigate is:</t>
  </si>
  <si>
    <t>Your final phosphorus budget is:</t>
  </si>
  <si>
    <t>have pop up message if negative that says soemthing like "No P to mitigate</t>
  </si>
  <si>
    <t xml:space="preserve">If positive have message similar to the right </t>
  </si>
  <si>
    <t>The total amount of nitrogen to mitigate is:</t>
  </si>
  <si>
    <t>Look Up Tables</t>
  </si>
  <si>
    <t>Table 1: Stage 1 WwTW lookup</t>
  </si>
  <si>
    <t>Discharge Site Name</t>
  </si>
  <si>
    <t>Phosphorus, Total as P (mg/l)</t>
  </si>
  <si>
    <t>Nitrogen, Total as N (mg/l)</t>
  </si>
  <si>
    <t>Phosphorus, Total as P (mg/l), permit post 2025</t>
  </si>
  <si>
    <t>Nitrogen, Total as N (mg/l), permit post 2025</t>
  </si>
  <si>
    <t>Aldbrough STW</t>
  </si>
  <si>
    <t>Archdeacon Newton STW</t>
  </si>
  <si>
    <t>Aycliffe STW Works</t>
  </si>
  <si>
    <t>Barnard Castle STW</t>
  </si>
  <si>
    <t>Barningham STW</t>
  </si>
  <si>
    <t>Barton STW</t>
  </si>
  <si>
    <t>Beacon Hill No.1 STW</t>
  </si>
  <si>
    <t>Beacon Hill No.2 STW</t>
  </si>
  <si>
    <t>Beacon Hill No.3 STW</t>
  </si>
  <si>
    <t>Billingham STW</t>
  </si>
  <si>
    <t>Bishop Middleham Sewage Works</t>
  </si>
  <si>
    <t>Bishopton Sewage Works</t>
  </si>
  <si>
    <t>Bolam STW</t>
  </si>
  <si>
    <t>Boldron STW</t>
  </si>
  <si>
    <t>Bowes STW</t>
  </si>
  <si>
    <t>Bradbury STW</t>
  </si>
  <si>
    <t>Bran Sands Treatment Works</t>
  </si>
  <si>
    <t>Caldwell STW</t>
  </si>
  <si>
    <t>Carlton &amp; Redmarshall STW</t>
  </si>
  <si>
    <t>Carlton In Cleveland STW</t>
  </si>
  <si>
    <t>Chilton Lane STW</t>
  </si>
  <si>
    <t>Cotherstone STW</t>
  </si>
  <si>
    <t>Dent Bank STW</t>
  </si>
  <si>
    <t>Denton STW</t>
  </si>
  <si>
    <t>Eggleston  STW</t>
  </si>
  <si>
    <t>Elton STW</t>
  </si>
  <si>
    <t>Eppleby Sewage Disposal Works</t>
  </si>
  <si>
    <t>Eryholme STW</t>
  </si>
  <si>
    <t>Fighting Cocks STW</t>
  </si>
  <si>
    <t>Fishburn STW</t>
  </si>
  <si>
    <t>Gainford STW</t>
  </si>
  <si>
    <t>Gateley Moor Reservoir STW</t>
  </si>
  <si>
    <t>Graythorp STW</t>
  </si>
  <si>
    <t>Great Ayton STW</t>
  </si>
  <si>
    <t>Great Broughton STW</t>
  </si>
  <si>
    <t>Great Busby STW</t>
  </si>
  <si>
    <t>Great Stainton STW</t>
  </si>
  <si>
    <t>Greatham STW</t>
  </si>
  <si>
    <t>Gribdale Terrace STW</t>
  </si>
  <si>
    <t>Hornby STW</t>
  </si>
  <si>
    <t>Houghton Le Side STW</t>
  </si>
  <si>
    <t>Hutton Magna New STW</t>
  </si>
  <si>
    <t>Hutton Rudby STW</t>
  </si>
  <si>
    <t>Ingleby Greenhow STW</t>
  </si>
  <si>
    <t>Kildale-New-Row STW</t>
  </si>
  <si>
    <t>Kildale STW</t>
  </si>
  <si>
    <t>Killerby STW</t>
  </si>
  <si>
    <t>Kirklevington STW</t>
  </si>
  <si>
    <t>Little Kildale STW</t>
  </si>
  <si>
    <t>Little Stainton STW</t>
  </si>
  <si>
    <t>Long Newton STW</t>
  </si>
  <si>
    <t>Low Worsall STW</t>
  </si>
  <si>
    <t>Manfield STW</t>
  </si>
  <si>
    <t>Marske STW</t>
  </si>
  <si>
    <t>Melsonby STW</t>
  </si>
  <si>
    <t>Mickleton STW</t>
  </si>
  <si>
    <t>Middleton-In-Teesdale STW</t>
  </si>
  <si>
    <t>Middleton Beach Outfall</t>
  </si>
  <si>
    <t>Mordon STW</t>
  </si>
  <si>
    <t>Newbiggin STW</t>
  </si>
  <si>
    <t>Newby STW</t>
  </si>
  <si>
    <t>Newton-Under-Roseberry STW</t>
  </si>
  <si>
    <t>Old Cleatlam STW</t>
  </si>
  <si>
    <t>Ovington STW</t>
  </si>
  <si>
    <t>Picton STW</t>
  </si>
  <si>
    <t>Romaldkirk Sewage Disposal Works</t>
  </si>
  <si>
    <t>Rushyford Well Cottages STW</t>
  </si>
  <si>
    <t>Sadberge STW</t>
  </si>
  <si>
    <t>Seaton Carew STW</t>
  </si>
  <si>
    <t>Sedgefield STW</t>
  </si>
  <si>
    <t>South Cleatlam STW</t>
  </si>
  <si>
    <t>Staindrop STW</t>
  </si>
  <si>
    <t>Stainton STW</t>
  </si>
  <si>
    <t>Stokesley STW</t>
  </si>
  <si>
    <t>Stressholme STW</t>
  </si>
  <si>
    <t>Summerhouse STW</t>
  </si>
  <si>
    <t>Swainby STW</t>
  </si>
  <si>
    <t>Teesside Airport STW</t>
  </si>
  <si>
    <t>Trimdon Village STW</t>
  </si>
  <si>
    <t>Walworth Gate STW</t>
  </si>
  <si>
    <t>Whorlton STW</t>
  </si>
  <si>
    <t>Windlestone STW</t>
  </si>
  <si>
    <t>Winston STW</t>
  </si>
  <si>
    <t>Package Treatment Plant default</t>
  </si>
  <si>
    <t>Septic Tank default</t>
  </si>
  <si>
    <t>Package Treatment Plant user defined</t>
  </si>
  <si>
    <t>Septic Tank user defined</t>
  </si>
  <si>
    <t>Table 2: Stage 2 and 3 Landcover lookup</t>
  </si>
  <si>
    <t>Catchment</t>
  </si>
  <si>
    <t>Farmscoper Farm Term</t>
  </si>
  <si>
    <t>NVZ</t>
  </si>
  <si>
    <t>Climate</t>
  </si>
  <si>
    <t>Farmscoper Soil Drainage Term</t>
  </si>
  <si>
    <t>Lookup</t>
  </si>
  <si>
    <t>Phosphorus export coefficient</t>
  </si>
  <si>
    <t>Nitrogen export coefficient</t>
  </si>
  <si>
    <t>Farm Lookup</t>
  </si>
  <si>
    <t>Mean P export of farm type and climate combination</t>
  </si>
  <si>
    <t>Mean N export of farm type and climate combination</t>
  </si>
  <si>
    <t>Mean P export of farm type</t>
  </si>
  <si>
    <t>Mean N export of farm type</t>
  </si>
  <si>
    <t>Tees Lower and Estuary</t>
  </si>
  <si>
    <t>Cereals</t>
  </si>
  <si>
    <t>Under600</t>
  </si>
  <si>
    <t>DrainedAr</t>
  </si>
  <si>
    <t>600to700</t>
  </si>
  <si>
    <t>FreeDrain</t>
  </si>
  <si>
    <t>DrainedArGr</t>
  </si>
  <si>
    <t>700to900</t>
  </si>
  <si>
    <t>General</t>
  </si>
  <si>
    <t>Horticulture</t>
  </si>
  <si>
    <t>Pig</t>
  </si>
  <si>
    <t>Poultry</t>
  </si>
  <si>
    <t>Dairy</t>
  </si>
  <si>
    <t>LFA</t>
  </si>
  <si>
    <t>Lowland</t>
  </si>
  <si>
    <t>Mixed</t>
  </si>
  <si>
    <t>Tees Middle</t>
  </si>
  <si>
    <t>900to1200</t>
  </si>
  <si>
    <t>1200to1500</t>
  </si>
  <si>
    <t>Tees Upper</t>
  </si>
  <si>
    <t>Over1500</t>
  </si>
  <si>
    <t>Skerne</t>
  </si>
  <si>
    <t>3093_Tees</t>
  </si>
  <si>
    <t>-</t>
  </si>
  <si>
    <t>Greenspace</t>
  </si>
  <si>
    <t>Community food growing</t>
  </si>
  <si>
    <t>Woodland</t>
  </si>
  <si>
    <t>Shrub</t>
  </si>
  <si>
    <t>Water</t>
  </si>
  <si>
    <t>Residential urban land</t>
  </si>
  <si>
    <r>
      <t>Commercial/</t>
    </r>
    <r>
      <rPr>
        <i/>
        <sz val="11"/>
        <color theme="1"/>
        <rFont val="Arial"/>
        <family val="2"/>
      </rPr>
      <t>i</t>
    </r>
    <r>
      <rPr>
        <sz val="11"/>
        <color theme="1"/>
        <rFont val="Arial"/>
        <family val="2"/>
      </rPr>
      <t>ndustrial urban land</t>
    </r>
  </si>
  <si>
    <t>Open urban land</t>
  </si>
  <si>
    <t>Table 3: Stage 2 and 3 Rainfall / Urban Lookup</t>
  </si>
  <si>
    <t>Rainfall band</t>
  </si>
  <si>
    <t>Mid</t>
  </si>
  <si>
    <t>Farmscoper Equivalent</t>
  </si>
  <si>
    <t xml:space="preserve">P Urban Runoff Coefficient </t>
  </si>
  <si>
    <t>N Urban Runoff Coefficient (kg/ha/yr)</t>
  </si>
  <si>
    <t>Residential P export coefficient (kg/ha/yr)</t>
  </si>
  <si>
    <t>Commercial / industrial P export coefficient (kg/ha/yr)</t>
  </si>
  <si>
    <t>Open urban P export coefficient (kg/ha/yr)</t>
  </si>
  <si>
    <t>Residential N export coefficient (kg/ha/yr)</t>
  </si>
  <si>
    <t>Commercial / industrial N export coefficient (kg/ha/yr)</t>
  </si>
  <si>
    <t>Open urban N export coefficient (kg/ha/yr)</t>
  </si>
  <si>
    <t>508 - 525</t>
  </si>
  <si>
    <t>525.1 - 550</t>
  </si>
  <si>
    <t>550.1 - 575</t>
  </si>
  <si>
    <t>575.1 - 600</t>
  </si>
  <si>
    <t>600.1 - 625</t>
  </si>
  <si>
    <t>625.1 - 650</t>
  </si>
  <si>
    <t>650.1 - 675</t>
  </si>
  <si>
    <t>675.1 - 700</t>
  </si>
  <si>
    <t>700.1 - 750</t>
  </si>
  <si>
    <t>750.1 - 800</t>
  </si>
  <si>
    <t>800.1 - 850</t>
  </si>
  <si>
    <t>850.1 - 900</t>
  </si>
  <si>
    <t>900.1 - 950</t>
  </si>
  <si>
    <t>950.1 - 1,000</t>
  </si>
  <si>
    <t>1,000.1 - 1,100</t>
  </si>
  <si>
    <t>1,100.1 - 1,200</t>
  </si>
  <si>
    <t>1,200.1 - 1,400</t>
  </si>
  <si>
    <t>1,400.1 - 1,600</t>
  </si>
  <si>
    <t>1,600.1 - 2,000</t>
  </si>
  <si>
    <t>2,000.1 - 2,400</t>
  </si>
  <si>
    <t>2,400.1 - 3,000</t>
  </si>
  <si>
    <t>3,000.1 - 4,000</t>
  </si>
  <si>
    <t>4,000.1 - 5,500</t>
  </si>
  <si>
    <t>Table 4: Stage 2 and 3 Catchment Lookup</t>
  </si>
  <si>
    <t>Table 7: Stage 2 and 3 Landcovers</t>
  </si>
  <si>
    <t>Table 8: Stage 2 and 3 Landcover lookup</t>
  </si>
  <si>
    <t>Operational Catchment</t>
  </si>
  <si>
    <t>Farmscoper equivalent</t>
  </si>
  <si>
    <t>All Possible Landcover Types</t>
  </si>
  <si>
    <t>Teesmouth Specific Landcover Types</t>
  </si>
  <si>
    <t>Table 5: Stage 2 and 3 Soil Drainage Lookup</t>
  </si>
  <si>
    <t>Soilscape drainage term</t>
  </si>
  <si>
    <t>Farmscoper term</t>
  </si>
  <si>
    <t>Definition</t>
  </si>
  <si>
    <t>Freely draining</t>
  </si>
  <si>
    <t>Free Draining</t>
  </si>
  <si>
    <t>Slightly impeded drainage</t>
  </si>
  <si>
    <t>Drained for arable</t>
  </si>
  <si>
    <t>Impeded drainage</t>
  </si>
  <si>
    <t>Drained for arable and grassland</t>
  </si>
  <si>
    <t>Variable</t>
  </si>
  <si>
    <t>Surface Wetness</t>
  </si>
  <si>
    <t>Naturally wet</t>
  </si>
  <si>
    <t>Table 6: Stage 2 and 3 NVZ Lookup</t>
  </si>
  <si>
    <t>Yes</t>
  </si>
  <si>
    <t>No</t>
  </si>
  <si>
    <t>Saltburn Coast</t>
  </si>
  <si>
    <t>Leven Northumbria</t>
  </si>
  <si>
    <t>Commercial/industrial urban 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</si>
</sst>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1"/>
      <name val="Calibri"/>
      <family val="2"/>
      <scheme val="minor"/>
    </font>
    <font>
      <u/>
      <sz val="11"/>
      <color theme="10"/>
      <name val="Calibri"/>
      <family val="2"/>
      <scheme val="minor"/>
    </font>
    <font>
      <sz val="11"/>
      <color theme="1"/>
      <name val="Gill Sans MT"/>
      <family val="2"/>
    </font>
    <font>
      <b/>
      <sz val="11"/>
      <color theme="0"/>
      <name val="Gill Sans MT"/>
      <family val="2"/>
    </font>
    <font>
      <b/>
      <sz val="11"/>
      <color theme="1"/>
      <name val="Gill Sans MT"/>
      <family val="2"/>
    </font>
    <font>
      <b/>
      <sz val="11"/>
      <color theme="1"/>
      <name val="Calibri"/>
      <family val="2"/>
      <scheme val="minor"/>
    </font>
    <font>
      <sz val="11"/>
      <name val="Gill Sans MT"/>
      <family val="2"/>
    </font>
    <font>
      <b/>
      <sz val="11"/>
      <color theme="1"/>
      <name val="Arial"/>
      <family val="2"/>
    </font>
    <font>
      <b/>
      <sz val="11"/>
      <name val="Arial"/>
      <family val="2"/>
    </font>
    <font>
      <sz val="11"/>
      <name val="Arial"/>
      <family val="2"/>
    </font>
    <font>
      <sz val="11"/>
      <color theme="0"/>
      <name val="Gill Sans MT"/>
      <family val="2"/>
    </font>
    <font>
      <sz val="11"/>
      <color theme="1"/>
      <name val="Arial"/>
      <family val="2"/>
    </font>
    <font>
      <sz val="11"/>
      <color rgb="FF000000"/>
      <name val="Arial"/>
      <family val="2"/>
    </font>
    <font>
      <i/>
      <sz val="11"/>
      <color theme="1"/>
      <name val="Arial"/>
      <family val="2"/>
    </font>
    <font>
      <sz val="11"/>
      <color theme="1" tint="4.9989318521683403E-2"/>
      <name val="Arial"/>
      <family val="2"/>
    </font>
    <font>
      <b/>
      <sz val="11"/>
      <name val="Calibri"/>
      <family val="2"/>
      <scheme val="minor"/>
    </font>
    <font>
      <b/>
      <sz val="12"/>
      <color theme="1"/>
      <name val="Arial"/>
      <family val="2"/>
    </font>
    <font>
      <sz val="11"/>
      <color rgb="FF242424"/>
      <name val="Segoe UI"/>
      <family val="2"/>
    </font>
    <font>
      <sz val="11"/>
      <color theme="1" tint="0.14999847407452621"/>
      <name val="Calibri"/>
      <family val="2"/>
      <scheme val="minor"/>
    </font>
    <font>
      <sz val="11"/>
      <color theme="0"/>
      <name val="Calibri"/>
      <family val="2"/>
      <scheme val="minor"/>
    </font>
    <font>
      <b/>
      <sz val="14"/>
      <color theme="1"/>
      <name val="Arial"/>
      <family val="2"/>
    </font>
    <font>
      <b/>
      <sz val="11"/>
      <color theme="1"/>
      <name val="Century Gothic"/>
      <family val="2"/>
    </font>
    <font>
      <sz val="11"/>
      <color theme="1" tint="0.14999847407452621"/>
      <name val="Arial"/>
      <family val="2"/>
    </font>
    <font>
      <b/>
      <sz val="11"/>
      <color theme="1" tint="0.14999847407452621"/>
      <name val="Arial"/>
      <family val="2"/>
    </font>
    <font>
      <sz val="12"/>
      <color theme="1"/>
      <name val="Century Gothic"/>
      <family val="2"/>
    </font>
    <font>
      <sz val="8"/>
      <color theme="2" tint="-0.249977111117893"/>
      <name val="Calibri"/>
      <family val="2"/>
      <scheme val="minor"/>
    </font>
    <font>
      <b/>
      <i/>
      <sz val="8"/>
      <color theme="2" tint="-0.249977111117893"/>
      <name val="Calibri"/>
      <family val="2"/>
      <scheme val="minor"/>
    </font>
    <font>
      <i/>
      <sz val="8"/>
      <color theme="2" tint="-0.249977111117893"/>
      <name val="Calibri"/>
      <family val="2"/>
      <scheme val="minor"/>
    </font>
    <font>
      <sz val="8"/>
      <name val="Calibri"/>
      <family val="2"/>
      <scheme val="minor"/>
    </font>
    <font>
      <b/>
      <u/>
      <sz val="14"/>
      <color rgb="FF000000"/>
      <name val="Arial"/>
      <family val="2"/>
    </font>
    <font>
      <b/>
      <sz val="11"/>
      <color rgb="FF000000"/>
      <name val="Arial"/>
      <family val="2"/>
    </font>
    <font>
      <u/>
      <sz val="11"/>
      <color theme="10"/>
      <name val="Arial"/>
      <family val="2"/>
    </font>
    <font>
      <b/>
      <sz val="18"/>
      <color theme="0"/>
      <name val="Century Gothic"/>
      <family val="2"/>
    </font>
    <font>
      <sz val="12"/>
      <color rgb="FF000000"/>
      <name val="Arial"/>
      <family val="2"/>
    </font>
    <font>
      <b/>
      <sz val="14"/>
      <color theme="1"/>
      <name val="Century Gothic"/>
      <family val="2"/>
    </font>
    <font>
      <b/>
      <sz val="24"/>
      <color theme="0"/>
      <name val="Century Gothic"/>
      <family val="2"/>
    </font>
    <font>
      <sz val="24"/>
      <color theme="0"/>
      <name val="Century Gothic"/>
      <family val="2"/>
    </font>
    <font>
      <sz val="11"/>
      <color theme="6" tint="0.79998168889431442"/>
      <name val="Calibri"/>
      <family val="2"/>
      <scheme val="minor"/>
    </font>
    <font>
      <sz val="11"/>
      <color theme="6" tint="0.79998168889431442"/>
      <name val="Gill Sans MT"/>
      <family val="2"/>
    </font>
    <font>
      <u/>
      <sz val="11"/>
      <color theme="10"/>
      <name val="Segoe UI"/>
      <family val="2"/>
    </font>
  </fonts>
  <fills count="7">
    <fill>
      <patternFill patternType="none"/>
    </fill>
    <fill>
      <patternFill patternType="gray125"/>
    </fill>
    <fill>
      <patternFill patternType="solid">
        <fgColor theme="0"/>
        <bgColor indexed="64"/>
      </patternFill>
    </fill>
    <fill>
      <patternFill patternType="solid">
        <fgColor rgb="FF9DD3BE"/>
        <bgColor indexed="64"/>
      </patternFill>
    </fill>
    <fill>
      <patternFill patternType="solid">
        <fgColor rgb="FFF7E8BE"/>
        <bgColor indexed="64"/>
      </patternFill>
    </fill>
    <fill>
      <patternFill patternType="solid">
        <fgColor theme="6" tint="0.79998168889431442"/>
        <bgColor indexed="64"/>
      </patternFill>
    </fill>
    <fill>
      <patternFill patternType="solid">
        <fgColor rgb="FF449669"/>
        <bgColor indexed="64"/>
      </patternFill>
    </fill>
  </fills>
  <borders count="22">
    <border>
      <left/>
      <right/>
      <top/>
      <bottom/>
      <diagonal/>
    </border>
    <border>
      <left/>
      <right/>
      <top/>
      <bottom style="thick">
        <color rgb="FF449669"/>
      </bottom>
      <diagonal/>
    </border>
    <border>
      <left/>
      <right style="thick">
        <color rgb="FF449669"/>
      </right>
      <top/>
      <bottom/>
      <diagonal/>
    </border>
    <border>
      <left/>
      <right style="thick">
        <color rgb="FF449669"/>
      </right>
      <top/>
      <bottom style="thick">
        <color rgb="FF449669"/>
      </bottom>
      <diagonal/>
    </border>
    <border>
      <left/>
      <right/>
      <top style="thick">
        <color rgb="FF449669"/>
      </top>
      <bottom style="thick">
        <color rgb="FF449669"/>
      </bottom>
      <diagonal/>
    </border>
    <border>
      <left style="thick">
        <color rgb="FF449669"/>
      </left>
      <right style="thick">
        <color rgb="FF449669"/>
      </right>
      <top/>
      <bottom/>
      <diagonal/>
    </border>
    <border>
      <left style="thick">
        <color rgb="FF449669"/>
      </left>
      <right style="thick">
        <color rgb="FF449669"/>
      </right>
      <top/>
      <bottom style="thick">
        <color rgb="FF449669"/>
      </bottom>
      <diagonal/>
    </border>
    <border>
      <left/>
      <right/>
      <top style="thick">
        <color rgb="FF449669"/>
      </top>
      <bottom/>
      <diagonal/>
    </border>
    <border>
      <left style="thick">
        <color rgb="FF449669"/>
      </left>
      <right/>
      <top style="thick">
        <color rgb="FF449669"/>
      </top>
      <bottom/>
      <diagonal/>
    </border>
    <border>
      <left/>
      <right style="thick">
        <color rgb="FF449669"/>
      </right>
      <top style="thick">
        <color rgb="FF449669"/>
      </top>
      <bottom/>
      <diagonal/>
    </border>
    <border>
      <left style="thick">
        <color rgb="FF449669"/>
      </left>
      <right/>
      <top/>
      <bottom/>
      <diagonal/>
    </border>
    <border>
      <left style="thick">
        <color rgb="FF449669"/>
      </left>
      <right/>
      <top/>
      <bottom style="thick">
        <color rgb="FF449669"/>
      </bottom>
      <diagonal/>
    </border>
    <border>
      <left/>
      <right/>
      <top/>
      <bottom style="medium">
        <color rgb="FF449669"/>
      </bottom>
      <diagonal/>
    </border>
    <border>
      <left/>
      <right/>
      <top style="medium">
        <color rgb="FF449669"/>
      </top>
      <bottom/>
      <diagonal/>
    </border>
    <border>
      <left/>
      <right/>
      <top style="medium">
        <color rgb="FF449669"/>
      </top>
      <bottom style="medium">
        <color rgb="FF449669"/>
      </bottom>
      <diagonal/>
    </border>
    <border>
      <left/>
      <right style="medium">
        <color rgb="FF449669"/>
      </right>
      <top/>
      <bottom/>
      <diagonal/>
    </border>
    <border>
      <left style="medium">
        <color rgb="FF449669"/>
      </left>
      <right style="medium">
        <color rgb="FF449669"/>
      </right>
      <top/>
      <bottom/>
      <diagonal/>
    </border>
    <border>
      <left/>
      <right style="medium">
        <color rgb="FF449669"/>
      </right>
      <top/>
      <bottom style="medium">
        <color rgb="FF449669"/>
      </bottom>
      <diagonal/>
    </border>
    <border>
      <left style="medium">
        <color rgb="FF449669"/>
      </left>
      <right style="medium">
        <color rgb="FF449669"/>
      </right>
      <top/>
      <bottom style="medium">
        <color rgb="FF449669"/>
      </bottom>
      <diagonal/>
    </border>
    <border>
      <left/>
      <right style="medium">
        <color rgb="FF449669"/>
      </right>
      <top style="medium">
        <color rgb="FF449669"/>
      </top>
      <bottom/>
      <diagonal/>
    </border>
    <border>
      <left style="medium">
        <color rgb="FF449669"/>
      </left>
      <right/>
      <top/>
      <bottom/>
      <diagonal/>
    </border>
    <border>
      <left style="medium">
        <color rgb="FF449669"/>
      </left>
      <right/>
      <top/>
      <bottom style="medium">
        <color rgb="FF449669"/>
      </bottom>
      <diagonal/>
    </border>
  </borders>
  <cellStyleXfs count="2">
    <xf numFmtId="0" fontId="0" fillId="0" borderId="0"/>
    <xf numFmtId="0" fontId="2" fillId="0" borderId="0" applyNumberFormat="0" applyFill="0" applyBorder="0" applyAlignment="0" applyProtection="0"/>
  </cellStyleXfs>
  <cellXfs count="274">
    <xf numFmtId="0" fontId="0" fillId="0" borderId="0" xfId="0"/>
    <xf numFmtId="0" fontId="0" fillId="2" borderId="0" xfId="0" applyFill="1"/>
    <xf numFmtId="0" fontId="1" fillId="2" borderId="0" xfId="0" applyFont="1" applyFill="1"/>
    <xf numFmtId="0" fontId="3" fillId="2" borderId="0" xfId="0" applyFont="1" applyFill="1" applyAlignment="1">
      <alignment horizontal="left"/>
    </xf>
    <xf numFmtId="0" fontId="4" fillId="2" borderId="0" xfId="0" applyFont="1" applyFill="1" applyAlignment="1">
      <alignment horizontal="left"/>
    </xf>
    <xf numFmtId="0" fontId="5" fillId="2" borderId="0" xfId="0" applyFont="1" applyFill="1" applyAlignment="1">
      <alignment horizontal="left"/>
    </xf>
    <xf numFmtId="14" fontId="3" fillId="2" borderId="0" xfId="0" applyNumberFormat="1" applyFont="1" applyFill="1" applyAlignment="1">
      <alignment vertical="center" wrapText="1"/>
    </xf>
    <xf numFmtId="0" fontId="3" fillId="2" borderId="0" xfId="0" applyFont="1" applyFill="1" applyAlignment="1">
      <alignment vertical="center"/>
    </xf>
    <xf numFmtId="0" fontId="3" fillId="2" borderId="0" xfId="0" applyFont="1" applyFill="1" applyAlignment="1">
      <alignment vertical="center" wrapText="1"/>
    </xf>
    <xf numFmtId="0" fontId="3" fillId="2" borderId="0" xfId="0" applyFont="1" applyFill="1" applyAlignment="1">
      <alignment horizontal="left" vertical="center"/>
    </xf>
    <xf numFmtId="0" fontId="5" fillId="2" borderId="0" xfId="0" applyFont="1" applyFill="1" applyAlignment="1">
      <alignment horizontal="left" vertical="center"/>
    </xf>
    <xf numFmtId="0" fontId="3" fillId="2" borderId="0" xfId="0" applyFont="1" applyFill="1" applyAlignment="1">
      <alignment horizontal="center" vertical="center"/>
    </xf>
    <xf numFmtId="2" fontId="3" fillId="2" borderId="0" xfId="0" applyNumberFormat="1" applyFont="1" applyFill="1" applyAlignment="1">
      <alignment horizontal="center" vertical="center"/>
    </xf>
    <xf numFmtId="2" fontId="5" fillId="2" borderId="0" xfId="0" applyNumberFormat="1" applyFont="1" applyFill="1" applyAlignment="1">
      <alignment horizontal="center" vertical="center"/>
    </xf>
    <xf numFmtId="0" fontId="8" fillId="2" borderId="1" xfId="0" applyFont="1" applyFill="1" applyBorder="1"/>
    <xf numFmtId="0" fontId="9" fillId="2" borderId="0" xfId="0" applyFont="1" applyFill="1" applyAlignment="1">
      <alignment horizontal="left" vertical="center" wrapText="1"/>
    </xf>
    <xf numFmtId="0" fontId="9" fillId="2" borderId="4" xfId="0" applyFont="1" applyFill="1" applyBorder="1" applyAlignment="1">
      <alignment horizontal="left" vertical="center" wrapText="1"/>
    </xf>
    <xf numFmtId="0" fontId="9" fillId="2" borderId="7" xfId="0" applyFont="1" applyFill="1" applyBorder="1" applyAlignment="1">
      <alignment horizontal="left" vertical="center" wrapText="1"/>
    </xf>
    <xf numFmtId="2" fontId="12" fillId="2" borderId="0" xfId="0" applyNumberFormat="1" applyFont="1" applyFill="1" applyAlignment="1">
      <alignment horizontal="center" vertical="center"/>
    </xf>
    <xf numFmtId="0" fontId="8" fillId="2" borderId="0" xfId="0" applyFont="1" applyFill="1" applyAlignment="1">
      <alignment horizontal="left" vertical="center"/>
    </xf>
    <xf numFmtId="2" fontId="8" fillId="4" borderId="0" xfId="0" applyNumberFormat="1" applyFont="1" applyFill="1" applyAlignment="1">
      <alignment horizontal="center" vertical="center"/>
    </xf>
    <xf numFmtId="2" fontId="8" fillId="2" borderId="0" xfId="0" applyNumberFormat="1" applyFont="1" applyFill="1" applyAlignment="1">
      <alignment horizontal="center" vertical="center"/>
    </xf>
    <xf numFmtId="0" fontId="12" fillId="2" borderId="0" xfId="0" applyFont="1" applyFill="1"/>
    <xf numFmtId="2" fontId="12" fillId="4" borderId="1" xfId="0" applyNumberFormat="1" applyFont="1" applyFill="1" applyBorder="1" applyAlignment="1">
      <alignment horizontal="left" vertical="center" wrapText="1"/>
    </xf>
    <xf numFmtId="14" fontId="12" fillId="2" borderId="0" xfId="0" applyNumberFormat="1" applyFont="1" applyFill="1" applyAlignment="1">
      <alignment vertical="center" wrapText="1"/>
    </xf>
    <xf numFmtId="0" fontId="12" fillId="2" borderId="0" xfId="0" applyFont="1" applyFill="1" applyAlignment="1">
      <alignment vertical="center"/>
    </xf>
    <xf numFmtId="0" fontId="12" fillId="2" borderId="0" xfId="0" applyFont="1" applyFill="1" applyAlignment="1">
      <alignment vertical="center" wrapText="1"/>
    </xf>
    <xf numFmtId="0" fontId="12" fillId="2" borderId="0" xfId="0" applyFont="1" applyFill="1" applyAlignment="1">
      <alignment horizontal="left" vertical="center"/>
    </xf>
    <xf numFmtId="2" fontId="12" fillId="2" borderId="0" xfId="0" applyNumberFormat="1" applyFont="1" applyFill="1" applyAlignment="1">
      <alignment horizontal="left" vertical="center"/>
    </xf>
    <xf numFmtId="0" fontId="10" fillId="2" borderId="0" xfId="0" applyFont="1" applyFill="1" applyAlignment="1">
      <alignment horizontal="left" vertical="center"/>
    </xf>
    <xf numFmtId="0" fontId="12" fillId="5" borderId="0" xfId="0" applyFont="1" applyFill="1"/>
    <xf numFmtId="0" fontId="9" fillId="5" borderId="6" xfId="0" applyFont="1" applyFill="1" applyBorder="1" applyAlignment="1">
      <alignment horizontal="left" vertical="center"/>
    </xf>
    <xf numFmtId="0" fontId="9" fillId="5" borderId="3" xfId="0" applyFont="1" applyFill="1" applyBorder="1" applyAlignment="1">
      <alignment horizontal="left" vertical="center"/>
    </xf>
    <xf numFmtId="0" fontId="9" fillId="5" borderId="3" xfId="0" applyFont="1" applyFill="1" applyBorder="1" applyAlignment="1">
      <alignment horizontal="left" vertical="center" wrapText="1"/>
    </xf>
    <xf numFmtId="0" fontId="12" fillId="5" borderId="2" xfId="0" applyFont="1" applyFill="1" applyBorder="1" applyAlignment="1">
      <alignment horizontal="left" vertical="center"/>
    </xf>
    <xf numFmtId="2" fontId="12" fillId="5" borderId="0" xfId="0" applyNumberFormat="1" applyFont="1" applyFill="1" applyAlignment="1">
      <alignment horizontal="left" vertical="center"/>
    </xf>
    <xf numFmtId="0" fontId="8" fillId="5" borderId="1" xfId="0" applyFont="1" applyFill="1" applyBorder="1" applyAlignment="1">
      <alignment horizontal="left" vertical="center"/>
    </xf>
    <xf numFmtId="0" fontId="12" fillId="5" borderId="0" xfId="0" applyFont="1" applyFill="1" applyAlignment="1">
      <alignment horizontal="left" vertical="center"/>
    </xf>
    <xf numFmtId="0" fontId="13" fillId="5" borderId="0" xfId="0" applyFont="1" applyFill="1" applyAlignment="1">
      <alignment horizontal="left" vertical="center"/>
    </xf>
    <xf numFmtId="0" fontId="9" fillId="5" borderId="11" xfId="0" applyFont="1" applyFill="1" applyBorder="1" applyAlignment="1">
      <alignment horizontal="left" vertical="center" wrapText="1"/>
    </xf>
    <xf numFmtId="0" fontId="12" fillId="5" borderId="10" xfId="0" applyFont="1" applyFill="1" applyBorder="1" applyAlignment="1">
      <alignment horizontal="left" vertical="center"/>
    </xf>
    <xf numFmtId="0" fontId="9" fillId="5" borderId="11" xfId="0" applyFont="1" applyFill="1" applyBorder="1" applyAlignment="1">
      <alignment horizontal="left" vertical="center"/>
    </xf>
    <xf numFmtId="49" fontId="12" fillId="5" borderId="2" xfId="0" applyNumberFormat="1" applyFont="1" applyFill="1" applyBorder="1" applyAlignment="1">
      <alignment horizontal="left" vertical="center"/>
    </xf>
    <xf numFmtId="0" fontId="12" fillId="5" borderId="5" xfId="0" applyFont="1" applyFill="1" applyBorder="1" applyAlignment="1">
      <alignment horizontal="left" vertical="center"/>
    </xf>
    <xf numFmtId="2" fontId="12" fillId="5" borderId="10" xfId="0" applyNumberFormat="1" applyFont="1" applyFill="1" applyBorder="1" applyAlignment="1">
      <alignment horizontal="left" vertical="center"/>
    </xf>
    <xf numFmtId="0" fontId="9" fillId="5" borderId="6" xfId="0" applyFont="1" applyFill="1" applyBorder="1" applyAlignment="1">
      <alignment horizontal="left" vertical="center" wrapText="1"/>
    </xf>
    <xf numFmtId="0" fontId="10" fillId="5" borderId="2" xfId="0" applyFont="1" applyFill="1" applyBorder="1" applyAlignment="1">
      <alignment horizontal="left" vertical="center"/>
    </xf>
    <xf numFmtId="2" fontId="12" fillId="5" borderId="2" xfId="0" applyNumberFormat="1" applyFont="1" applyFill="1" applyBorder="1" applyAlignment="1">
      <alignment horizontal="left" vertical="center"/>
    </xf>
    <xf numFmtId="0" fontId="10" fillId="5" borderId="5" xfId="0" applyFont="1" applyFill="1" applyBorder="1" applyAlignment="1">
      <alignment horizontal="left" vertical="center"/>
    </xf>
    <xf numFmtId="2" fontId="10" fillId="4" borderId="1" xfId="0" applyNumberFormat="1" applyFont="1" applyFill="1" applyBorder="1" applyAlignment="1">
      <alignment horizontal="left" vertical="center"/>
    </xf>
    <xf numFmtId="2" fontId="12" fillId="4" borderId="4" xfId="0" applyNumberFormat="1" applyFont="1" applyFill="1" applyBorder="1" applyAlignment="1">
      <alignment horizontal="left" vertical="center"/>
    </xf>
    <xf numFmtId="2" fontId="12" fillId="4" borderId="7" xfId="0" applyNumberFormat="1" applyFont="1" applyFill="1" applyBorder="1" applyAlignment="1">
      <alignment horizontal="left" vertical="center" wrapText="1"/>
    </xf>
    <xf numFmtId="2" fontId="8" fillId="2" borderId="0" xfId="0" applyNumberFormat="1" applyFont="1" applyFill="1" applyAlignment="1">
      <alignment vertical="center"/>
    </xf>
    <xf numFmtId="0" fontId="16" fillId="2" borderId="0" xfId="0" applyFont="1" applyFill="1" applyAlignment="1">
      <alignment horizontal="left" vertical="center" wrapText="1"/>
    </xf>
    <xf numFmtId="0" fontId="12" fillId="4" borderId="0" xfId="0" applyFont="1" applyFill="1" applyAlignment="1">
      <alignment horizontal="center" vertical="center"/>
    </xf>
    <xf numFmtId="0" fontId="12" fillId="2" borderId="12" xfId="0" applyFont="1" applyFill="1" applyBorder="1" applyAlignment="1">
      <alignment horizontal="left" vertical="center"/>
    </xf>
    <xf numFmtId="0" fontId="12" fillId="4" borderId="12" xfId="0" applyFont="1" applyFill="1" applyBorder="1" applyAlignment="1">
      <alignment horizontal="center" vertical="center"/>
    </xf>
    <xf numFmtId="0" fontId="12" fillId="2" borderId="13" xfId="0" applyFont="1" applyFill="1" applyBorder="1" applyAlignment="1">
      <alignment horizontal="left" vertical="center"/>
    </xf>
    <xf numFmtId="0" fontId="8" fillId="2" borderId="13" xfId="0" applyFont="1" applyFill="1" applyBorder="1" applyAlignment="1">
      <alignment horizontal="left" vertical="center"/>
    </xf>
    <xf numFmtId="2" fontId="12" fillId="4" borderId="13" xfId="0" applyNumberFormat="1" applyFont="1" applyFill="1" applyBorder="1" applyAlignment="1">
      <alignment horizontal="center" vertical="center"/>
    </xf>
    <xf numFmtId="2" fontId="8" fillId="4" borderId="13" xfId="0" applyNumberFormat="1" applyFont="1" applyFill="1" applyBorder="1" applyAlignment="1">
      <alignment horizontal="center" vertical="center"/>
    </xf>
    <xf numFmtId="0" fontId="12" fillId="2" borderId="14" xfId="0" applyFont="1" applyFill="1" applyBorder="1" applyAlignment="1">
      <alignment horizontal="left" vertical="center"/>
    </xf>
    <xf numFmtId="0" fontId="12" fillId="4" borderId="14" xfId="0" applyFont="1" applyFill="1" applyBorder="1" applyAlignment="1">
      <alignment horizontal="center" vertical="center"/>
    </xf>
    <xf numFmtId="2" fontId="12" fillId="4" borderId="14" xfId="0" applyNumberFormat="1" applyFont="1" applyFill="1" applyBorder="1" applyAlignment="1">
      <alignment horizontal="center" vertical="center"/>
    </xf>
    <xf numFmtId="0" fontId="9" fillId="2" borderId="13"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8" fillId="2" borderId="12" xfId="0" applyFont="1" applyFill="1" applyBorder="1"/>
    <xf numFmtId="0" fontId="9" fillId="2" borderId="14"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8" fillId="2" borderId="15" xfId="0" applyFont="1" applyFill="1" applyBorder="1" applyAlignment="1">
      <alignment horizontal="right"/>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9" xfId="0" applyFont="1" applyFill="1" applyBorder="1" applyAlignment="1">
      <alignment horizontal="right"/>
    </xf>
    <xf numFmtId="0" fontId="8" fillId="2" borderId="17" xfId="0" applyFont="1" applyFill="1" applyBorder="1" applyAlignment="1">
      <alignment horizontal="left" vertical="center"/>
    </xf>
    <xf numFmtId="0" fontId="12" fillId="4" borderId="12" xfId="0" applyFont="1" applyFill="1" applyBorder="1" applyAlignment="1">
      <alignment horizontal="center" vertical="center" wrapText="1"/>
    </xf>
    <xf numFmtId="0" fontId="12" fillId="4" borderId="0" xfId="0" applyFont="1" applyFill="1" applyAlignment="1">
      <alignment horizontal="center" vertical="center" wrapText="1"/>
    </xf>
    <xf numFmtId="0" fontId="21" fillId="2" borderId="0" xfId="0" applyFont="1" applyFill="1" applyAlignment="1">
      <alignment vertical="center" wrapText="1"/>
    </xf>
    <xf numFmtId="14" fontId="8" fillId="2" borderId="0" xfId="0" applyNumberFormat="1" applyFont="1" applyFill="1" applyAlignment="1">
      <alignment vertical="center" wrapText="1"/>
    </xf>
    <xf numFmtId="0" fontId="8" fillId="2" borderId="0" xfId="0" applyFont="1" applyFill="1" applyAlignment="1">
      <alignment vertical="center" wrapText="1"/>
    </xf>
    <xf numFmtId="0" fontId="7" fillId="2" borderId="0" xfId="0" applyFont="1" applyFill="1" applyAlignment="1">
      <alignment horizontal="center" vertical="center" wrapText="1"/>
    </xf>
    <xf numFmtId="0" fontId="0" fillId="2" borderId="0" xfId="0" applyFill="1" applyAlignment="1">
      <alignment horizontal="left"/>
    </xf>
    <xf numFmtId="2" fontId="8" fillId="2" borderId="0" xfId="0" applyNumberFormat="1" applyFont="1" applyFill="1" applyAlignment="1">
      <alignment horizontal="left" vertical="center"/>
    </xf>
    <xf numFmtId="2" fontId="12" fillId="4" borderId="12" xfId="0" applyNumberFormat="1" applyFont="1" applyFill="1" applyBorder="1" applyAlignment="1">
      <alignment horizontal="center" vertical="center"/>
    </xf>
    <xf numFmtId="0" fontId="19" fillId="2" borderId="0" xfId="0" applyFont="1" applyFill="1"/>
    <xf numFmtId="0" fontId="19" fillId="2" borderId="0" xfId="0" applyFont="1" applyFill="1" applyAlignment="1">
      <alignment horizontal="left"/>
    </xf>
    <xf numFmtId="0" fontId="23" fillId="2" borderId="0" xfId="0" applyFont="1" applyFill="1" applyAlignment="1">
      <alignment horizontal="left" vertical="center"/>
    </xf>
    <xf numFmtId="2" fontId="23" fillId="2" borderId="0" xfId="0" applyNumberFormat="1" applyFont="1" applyFill="1" applyAlignment="1">
      <alignment horizontal="left" vertical="center"/>
    </xf>
    <xf numFmtId="0" fontId="24" fillId="2" borderId="0" xfId="0" applyFont="1" applyFill="1" applyAlignment="1">
      <alignment horizontal="left" vertical="center"/>
    </xf>
    <xf numFmtId="2" fontId="24" fillId="2" borderId="0" xfId="0" applyNumberFormat="1" applyFont="1" applyFill="1" applyAlignment="1">
      <alignment horizontal="left" vertical="center"/>
    </xf>
    <xf numFmtId="0" fontId="23" fillId="2" borderId="0" xfId="0" applyFont="1" applyFill="1" applyAlignment="1">
      <alignment horizontal="center" vertical="center"/>
    </xf>
    <xf numFmtId="2" fontId="23" fillId="2" borderId="0" xfId="0" applyNumberFormat="1" applyFont="1" applyFill="1" applyAlignment="1">
      <alignment horizontal="center" vertical="center"/>
    </xf>
    <xf numFmtId="2" fontId="24" fillId="2" borderId="0" xfId="0" applyNumberFormat="1" applyFont="1" applyFill="1" applyAlignment="1">
      <alignment horizontal="center" vertical="center"/>
    </xf>
    <xf numFmtId="2" fontId="10" fillId="4" borderId="12" xfId="0" applyNumberFormat="1" applyFont="1" applyFill="1" applyBorder="1" applyAlignment="1">
      <alignment horizontal="center" vertical="center"/>
    </xf>
    <xf numFmtId="2" fontId="12" fillId="4" borderId="14" xfId="0" quotePrefix="1" applyNumberFormat="1" applyFont="1" applyFill="1" applyBorder="1" applyAlignment="1">
      <alignment horizontal="center" vertical="center" wrapText="1"/>
    </xf>
    <xf numFmtId="2" fontId="12" fillId="4" borderId="0" xfId="0" applyNumberFormat="1" applyFont="1" applyFill="1" applyAlignment="1">
      <alignment horizontal="center" vertical="center" wrapText="1"/>
    </xf>
    <xf numFmtId="2" fontId="12" fillId="4" borderId="14" xfId="0" applyNumberFormat="1" applyFont="1" applyFill="1" applyBorder="1" applyAlignment="1">
      <alignment horizontal="center" vertical="center" wrapText="1"/>
    </xf>
    <xf numFmtId="0" fontId="8" fillId="4" borderId="16" xfId="0" applyFont="1" applyFill="1" applyBorder="1" applyAlignment="1">
      <alignment horizontal="right"/>
    </xf>
    <xf numFmtId="2" fontId="8" fillId="4" borderId="0" xfId="0" applyNumberFormat="1" applyFont="1" applyFill="1" applyAlignment="1">
      <alignment horizontal="right"/>
    </xf>
    <xf numFmtId="2" fontId="15" fillId="3" borderId="14" xfId="0" applyNumberFormat="1" applyFont="1" applyFill="1" applyBorder="1" applyAlignment="1" applyProtection="1">
      <alignment horizontal="left" vertical="center" wrapText="1"/>
      <protection locked="0"/>
    </xf>
    <xf numFmtId="0" fontId="15" fillId="3" borderId="14" xfId="0" applyFont="1" applyFill="1" applyBorder="1" applyAlignment="1" applyProtection="1">
      <alignment horizontal="left" vertical="center"/>
      <protection locked="0"/>
    </xf>
    <xf numFmtId="0" fontId="15" fillId="3" borderId="0" xfId="0" applyFont="1" applyFill="1" applyAlignment="1" applyProtection="1">
      <alignment horizontal="left" vertical="center"/>
      <protection locked="0"/>
    </xf>
    <xf numFmtId="0" fontId="12" fillId="3" borderId="15" xfId="0" applyFont="1" applyFill="1" applyBorder="1" applyAlignment="1" applyProtection="1">
      <alignment horizontal="left"/>
      <protection locked="0"/>
    </xf>
    <xf numFmtId="2" fontId="12" fillId="3" borderId="16" xfId="0" applyNumberFormat="1" applyFont="1" applyFill="1" applyBorder="1" applyAlignment="1" applyProtection="1">
      <alignment horizontal="left"/>
      <protection locked="0"/>
    </xf>
    <xf numFmtId="2" fontId="12" fillId="3" borderId="18" xfId="0" applyNumberFormat="1" applyFont="1" applyFill="1" applyBorder="1" applyAlignment="1" applyProtection="1">
      <alignment horizontal="left"/>
      <protection locked="0"/>
    </xf>
    <xf numFmtId="14" fontId="10" fillId="3" borderId="12" xfId="0" applyNumberFormat="1" applyFont="1" applyFill="1" applyBorder="1" applyAlignment="1" applyProtection="1">
      <alignment horizontal="center" vertical="center"/>
      <protection locked="0"/>
    </xf>
    <xf numFmtId="2"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wrapText="1"/>
      <protection locked="0"/>
    </xf>
    <xf numFmtId="0" fontId="12" fillId="3" borderId="14" xfId="0" applyFont="1" applyFill="1" applyBorder="1" applyAlignment="1" applyProtection="1">
      <alignment horizontal="center" vertical="center" wrapText="1"/>
      <protection locked="0"/>
    </xf>
    <xf numFmtId="0" fontId="7" fillId="2" borderId="0" xfId="0" applyFont="1" applyFill="1" applyAlignment="1" applyProtection="1">
      <alignment vertical="center" wrapText="1"/>
      <protection locked="0"/>
    </xf>
    <xf numFmtId="0" fontId="12" fillId="3" borderId="17" xfId="0" applyFont="1" applyFill="1" applyBorder="1" applyAlignment="1" applyProtection="1">
      <alignment horizontal="left"/>
      <protection locked="0"/>
    </xf>
    <xf numFmtId="0" fontId="0" fillId="2" borderId="2" xfId="0" applyFill="1" applyBorder="1"/>
    <xf numFmtId="0" fontId="30" fillId="0" borderId="0" xfId="0" applyFont="1" applyAlignment="1">
      <alignment horizontal="left" vertical="top" indent="2"/>
    </xf>
    <xf numFmtId="0" fontId="12" fillId="2" borderId="11" xfId="0" applyFont="1" applyFill="1" applyBorder="1" applyAlignment="1">
      <alignment horizontal="left" vertical="top" indent="2"/>
    </xf>
    <xf numFmtId="0" fontId="12" fillId="2" borderId="1" xfId="0" applyFont="1" applyFill="1" applyBorder="1" applyAlignment="1">
      <alignment horizontal="left" vertical="top" indent="2"/>
    </xf>
    <xf numFmtId="0" fontId="8" fillId="2" borderId="10" xfId="0" applyFont="1" applyFill="1" applyBorder="1" applyAlignment="1">
      <alignment horizontal="left" vertical="top" indent="2"/>
    </xf>
    <xf numFmtId="0" fontId="30" fillId="0" borderId="0" xfId="0" applyFont="1" applyAlignment="1">
      <alignment horizontal="left" vertical="center" indent="2"/>
    </xf>
    <xf numFmtId="0" fontId="31" fillId="0" borderId="0" xfId="0" applyFont="1" applyAlignment="1">
      <alignment horizontal="left" vertical="top"/>
    </xf>
    <xf numFmtId="2" fontId="12" fillId="5" borderId="5" xfId="0" applyNumberFormat="1" applyFont="1" applyFill="1" applyBorder="1" applyAlignment="1">
      <alignment horizontal="left" vertical="center"/>
    </xf>
    <xf numFmtId="0" fontId="8" fillId="4" borderId="15" xfId="0" applyFont="1" applyFill="1" applyBorder="1" applyAlignment="1">
      <alignment horizontal="right"/>
    </xf>
    <xf numFmtId="0" fontId="9" fillId="5" borderId="1" xfId="0" applyFont="1" applyFill="1" applyBorder="1" applyAlignment="1">
      <alignment horizontal="left" vertical="center" wrapText="1"/>
    </xf>
    <xf numFmtId="0" fontId="0" fillId="2" borderId="10" xfId="0" applyFill="1" applyBorder="1"/>
    <xf numFmtId="0" fontId="12" fillId="2" borderId="10" xfId="0" applyFont="1" applyFill="1" applyBorder="1"/>
    <xf numFmtId="0" fontId="12" fillId="2" borderId="2" xfId="0" applyFont="1" applyFill="1" applyBorder="1"/>
    <xf numFmtId="0" fontId="0" fillId="2" borderId="1" xfId="0" applyFill="1" applyBorder="1"/>
    <xf numFmtId="0" fontId="0" fillId="2" borderId="3" xfId="0" applyFill="1" applyBorder="1"/>
    <xf numFmtId="0" fontId="0" fillId="5" borderId="0" xfId="0" applyFill="1"/>
    <xf numFmtId="0" fontId="0" fillId="5" borderId="2" xfId="0" applyFill="1" applyBorder="1"/>
    <xf numFmtId="0" fontId="12" fillId="5" borderId="7" xfId="0" applyFont="1" applyFill="1" applyBorder="1" applyAlignment="1">
      <alignment horizontal="left" vertical="top" indent="2"/>
    </xf>
    <xf numFmtId="14" fontId="3" fillId="5" borderId="0" xfId="0" applyNumberFormat="1" applyFont="1" applyFill="1" applyAlignment="1">
      <alignment vertical="center" wrapText="1"/>
    </xf>
    <xf numFmtId="0" fontId="1" fillId="5" borderId="0" xfId="0" applyFont="1" applyFill="1"/>
    <xf numFmtId="0" fontId="3" fillId="5" borderId="0" xfId="0" applyFont="1" applyFill="1" applyAlignment="1">
      <alignment vertical="center"/>
    </xf>
    <xf numFmtId="0" fontId="3" fillId="5" borderId="0" xfId="0" applyFont="1" applyFill="1" applyAlignment="1">
      <alignment vertical="center" wrapText="1"/>
    </xf>
    <xf numFmtId="0" fontId="37" fillId="2" borderId="0" xfId="0" applyFont="1" applyFill="1" applyAlignment="1">
      <alignment horizontal="center" vertical="center"/>
    </xf>
    <xf numFmtId="0" fontId="3" fillId="2" borderId="2" xfId="0" applyFont="1" applyFill="1" applyBorder="1" applyAlignment="1">
      <alignment vertical="center"/>
    </xf>
    <xf numFmtId="14" fontId="3" fillId="2" borderId="2" xfId="0" applyNumberFormat="1" applyFont="1" applyFill="1" applyBorder="1" applyAlignment="1">
      <alignment vertical="center" wrapText="1"/>
    </xf>
    <xf numFmtId="0" fontId="3" fillId="2" borderId="2" xfId="0" applyFont="1" applyFill="1" applyBorder="1" applyAlignment="1">
      <alignment vertical="center" wrapText="1"/>
    </xf>
    <xf numFmtId="0" fontId="0" fillId="2" borderId="11" xfId="0" applyFill="1" applyBorder="1"/>
    <xf numFmtId="0" fontId="16" fillId="2" borderId="14" xfId="0" applyFont="1" applyFill="1" applyBorder="1" applyAlignment="1">
      <alignment vertical="center" wrapText="1"/>
    </xf>
    <xf numFmtId="0" fontId="16" fillId="2" borderId="0" xfId="0" applyFont="1" applyFill="1" applyAlignment="1">
      <alignment vertical="center" wrapText="1"/>
    </xf>
    <xf numFmtId="0" fontId="4" fillId="2" borderId="2" xfId="0" applyFont="1" applyFill="1" applyBorder="1" applyAlignment="1">
      <alignment horizontal="left"/>
    </xf>
    <xf numFmtId="0" fontId="3" fillId="2" borderId="2" xfId="0" applyFont="1" applyFill="1" applyBorder="1" applyAlignment="1">
      <alignment horizontal="left" vertical="center"/>
    </xf>
    <xf numFmtId="0" fontId="6" fillId="2" borderId="2" xfId="0" applyFont="1" applyFill="1" applyBorder="1"/>
    <xf numFmtId="0" fontId="18" fillId="0" borderId="2" xfId="0" applyFont="1" applyBorder="1"/>
    <xf numFmtId="0" fontId="19" fillId="2" borderId="2" xfId="0" applyFont="1" applyFill="1" applyBorder="1"/>
    <xf numFmtId="0" fontId="38" fillId="5" borderId="0" xfId="0" applyFont="1" applyFill="1"/>
    <xf numFmtId="14" fontId="39" fillId="5" borderId="0" xfId="0" applyNumberFormat="1" applyFont="1" applyFill="1" applyAlignment="1">
      <alignment vertical="center" wrapText="1"/>
    </xf>
    <xf numFmtId="0" fontId="39" fillId="5" borderId="0" xfId="0" applyFont="1" applyFill="1" applyAlignment="1">
      <alignment vertical="center"/>
    </xf>
    <xf numFmtId="0" fontId="39" fillId="5" borderId="0" xfId="0" applyFont="1" applyFill="1" applyAlignment="1">
      <alignment vertical="center" wrapText="1"/>
    </xf>
    <xf numFmtId="0" fontId="38" fillId="5" borderId="2" xfId="0" applyFont="1" applyFill="1" applyBorder="1"/>
    <xf numFmtId="0" fontId="20" fillId="2" borderId="2" xfId="0" applyFont="1" applyFill="1" applyBorder="1"/>
    <xf numFmtId="0" fontId="20" fillId="5" borderId="0" xfId="0" applyFont="1" applyFill="1"/>
    <xf numFmtId="0" fontId="6" fillId="5" borderId="0" xfId="0" applyFont="1" applyFill="1"/>
    <xf numFmtId="0" fontId="5" fillId="2" borderId="2" xfId="0" applyFont="1" applyFill="1" applyBorder="1" applyAlignment="1">
      <alignment horizontal="left"/>
    </xf>
    <xf numFmtId="0" fontId="3" fillId="2" borderId="2" xfId="0" applyFont="1" applyFill="1" applyBorder="1" applyAlignment="1">
      <alignment horizontal="left"/>
    </xf>
    <xf numFmtId="0" fontId="12" fillId="2" borderId="0" xfId="0" applyFont="1" applyFill="1" applyAlignment="1">
      <alignment horizontal="center"/>
    </xf>
    <xf numFmtId="0" fontId="5" fillId="5" borderId="0" xfId="0" applyFont="1" applyFill="1" applyAlignment="1">
      <alignment horizontal="left"/>
    </xf>
    <xf numFmtId="0" fontId="4" fillId="5" borderId="0" xfId="0" applyFont="1" applyFill="1" applyAlignment="1">
      <alignment horizontal="left"/>
    </xf>
    <xf numFmtId="0" fontId="3" fillId="5" borderId="0" xfId="0" applyFont="1" applyFill="1" applyAlignment="1">
      <alignment horizontal="left"/>
    </xf>
    <xf numFmtId="0" fontId="3" fillId="5" borderId="0" xfId="0" applyFont="1" applyFill="1" applyAlignment="1">
      <alignment horizontal="left" vertical="center"/>
    </xf>
    <xf numFmtId="0" fontId="11" fillId="5" borderId="0" xfId="0" applyFont="1" applyFill="1" applyAlignment="1">
      <alignment horizontal="left"/>
    </xf>
    <xf numFmtId="0" fontId="11" fillId="5" borderId="0" xfId="0" applyFont="1" applyFill="1" applyAlignment="1">
      <alignment vertical="center"/>
    </xf>
    <xf numFmtId="0" fontId="11" fillId="5" borderId="0" xfId="0" applyFont="1" applyFill="1" applyAlignment="1">
      <alignment vertical="center" wrapText="1"/>
    </xf>
    <xf numFmtId="0" fontId="12" fillId="2" borderId="2" xfId="0" applyFont="1" applyFill="1" applyBorder="1" applyAlignment="1">
      <alignment horizontal="left" vertical="center"/>
    </xf>
    <xf numFmtId="0" fontId="12" fillId="2" borderId="1" xfId="0" applyFont="1" applyFill="1" applyBorder="1" applyAlignment="1">
      <alignment horizontal="left" vertical="center"/>
    </xf>
    <xf numFmtId="2" fontId="12" fillId="2" borderId="1" xfId="0" applyNumberFormat="1" applyFont="1" applyFill="1" applyBorder="1" applyAlignment="1">
      <alignment horizontal="left" vertical="center"/>
    </xf>
    <xf numFmtId="0" fontId="12" fillId="2" borderId="1" xfId="0" applyFont="1" applyFill="1" applyBorder="1"/>
    <xf numFmtId="2" fontId="0" fillId="5" borderId="5" xfId="0" applyNumberFormat="1" applyFill="1" applyBorder="1" applyAlignment="1">
      <alignment horizontal="left" vertical="center"/>
    </xf>
    <xf numFmtId="2" fontId="8" fillId="4" borderId="20" xfId="0" applyNumberFormat="1" applyFont="1" applyFill="1" applyBorder="1" applyAlignment="1">
      <alignment horizontal="right"/>
    </xf>
    <xf numFmtId="2" fontId="12" fillId="4" borderId="0" xfId="0" applyNumberFormat="1" applyFont="1" applyFill="1" applyAlignment="1">
      <alignment horizontal="left"/>
    </xf>
    <xf numFmtId="0" fontId="0" fillId="2" borderId="0" xfId="0" applyFill="1" applyAlignment="1">
      <alignment horizontal="left" vertical="center"/>
    </xf>
    <xf numFmtId="0" fontId="12" fillId="5" borderId="2" xfId="0" applyFont="1" applyFill="1" applyBorder="1" applyAlignment="1">
      <alignment horizontal="left" vertical="center" wrapText="1"/>
    </xf>
    <xf numFmtId="0" fontId="12" fillId="5" borderId="2" xfId="0" applyFont="1" applyFill="1" applyBorder="1" applyAlignment="1" applyProtection="1">
      <alignment horizontal="left" vertical="center"/>
      <protection hidden="1"/>
    </xf>
    <xf numFmtId="2" fontId="10" fillId="5" borderId="5" xfId="0" applyNumberFormat="1" applyFont="1" applyFill="1" applyBorder="1" applyAlignment="1">
      <alignment horizontal="left" vertical="center"/>
    </xf>
    <xf numFmtId="2" fontId="10" fillId="5" borderId="0" xfId="0" applyNumberFormat="1" applyFont="1" applyFill="1" applyAlignment="1">
      <alignment horizontal="left" vertical="center"/>
    </xf>
    <xf numFmtId="2" fontId="10" fillId="5" borderId="2" xfId="0" applyNumberFormat="1" applyFont="1" applyFill="1" applyBorder="1" applyAlignment="1">
      <alignment horizontal="left" vertical="center"/>
    </xf>
    <xf numFmtId="2" fontId="10" fillId="2" borderId="0" xfId="0" applyNumberFormat="1" applyFont="1" applyFill="1" applyAlignment="1">
      <alignment horizontal="left" vertical="center"/>
    </xf>
    <xf numFmtId="0" fontId="0" fillId="5" borderId="0" xfId="0" applyFill="1" applyAlignment="1">
      <alignment horizontal="left" vertical="center"/>
    </xf>
    <xf numFmtId="0" fontId="8" fillId="5" borderId="3" xfId="0" applyFont="1" applyFill="1" applyBorder="1" applyAlignment="1">
      <alignment horizontal="left" vertical="center"/>
    </xf>
    <xf numFmtId="0" fontId="38" fillId="2" borderId="0" xfId="0" applyFont="1" applyFill="1"/>
    <xf numFmtId="0" fontId="12" fillId="5" borderId="7" xfId="0" applyFont="1" applyFill="1" applyBorder="1" applyAlignment="1">
      <alignment horizontal="left" vertical="center"/>
    </xf>
    <xf numFmtId="2" fontId="10" fillId="3" borderId="18" xfId="0" applyNumberFormat="1" applyFont="1" applyFill="1" applyBorder="1" applyAlignment="1" applyProtection="1">
      <alignment horizontal="left"/>
      <protection locked="0"/>
    </xf>
    <xf numFmtId="0" fontId="10" fillId="5" borderId="2" xfId="0" applyFont="1" applyFill="1" applyBorder="1" applyAlignment="1">
      <alignment horizontal="left" vertical="center" wrapText="1"/>
    </xf>
    <xf numFmtId="0" fontId="10" fillId="5" borderId="10" xfId="0" applyFont="1" applyFill="1" applyBorder="1" applyAlignment="1">
      <alignment horizontal="left" vertical="center" wrapText="1"/>
    </xf>
    <xf numFmtId="2" fontId="10" fillId="3" borderId="16" xfId="0" applyNumberFormat="1" applyFont="1" applyFill="1" applyBorder="1" applyAlignment="1" applyProtection="1">
      <alignment horizontal="left"/>
      <protection locked="0"/>
    </xf>
    <xf numFmtId="2" fontId="10" fillId="3" borderId="16" xfId="0" applyNumberFormat="1" applyFont="1" applyFill="1" applyBorder="1" applyAlignment="1" applyProtection="1">
      <alignment horizontal="left" vertical="center"/>
      <protection locked="0"/>
    </xf>
    <xf numFmtId="2" fontId="9" fillId="3" borderId="16" xfId="0" applyNumberFormat="1" applyFont="1" applyFill="1" applyBorder="1" applyAlignment="1" applyProtection="1">
      <alignment horizontal="left" vertical="center"/>
      <protection locked="0"/>
    </xf>
    <xf numFmtId="0" fontId="8" fillId="2" borderId="21" xfId="0" applyFont="1" applyFill="1" applyBorder="1" applyAlignment="1">
      <alignment horizontal="left" vertical="center" wrapText="1"/>
    </xf>
    <xf numFmtId="2" fontId="12" fillId="4" borderId="21" xfId="0" applyNumberFormat="1" applyFont="1" applyFill="1" applyBorder="1" applyAlignment="1">
      <alignment horizontal="left"/>
    </xf>
    <xf numFmtId="2" fontId="12" fillId="3" borderId="19" xfId="0" applyNumberFormat="1" applyFont="1" applyFill="1" applyBorder="1" applyAlignment="1" applyProtection="1">
      <alignment horizontal="left"/>
      <protection locked="0"/>
    </xf>
    <xf numFmtId="2" fontId="12" fillId="3" borderId="15" xfId="0" applyNumberFormat="1" applyFont="1" applyFill="1" applyBorder="1" applyAlignment="1" applyProtection="1">
      <alignment horizontal="left"/>
      <protection locked="0"/>
    </xf>
    <xf numFmtId="0" fontId="12" fillId="3" borderId="19" xfId="0" applyFont="1" applyFill="1" applyBorder="1" applyAlignment="1" applyProtection="1">
      <alignment horizontal="left"/>
      <protection locked="0"/>
    </xf>
    <xf numFmtId="0" fontId="0" fillId="5" borderId="15" xfId="0" applyFill="1" applyBorder="1"/>
    <xf numFmtId="0" fontId="12" fillId="2" borderId="10" xfId="0" applyFont="1" applyFill="1" applyBorder="1" applyAlignment="1">
      <alignment horizontal="left" vertical="top" wrapText="1" indent="2"/>
    </xf>
    <xf numFmtId="0" fontId="12" fillId="2" borderId="10" xfId="0" applyFont="1" applyFill="1" applyBorder="1" applyAlignment="1">
      <alignment horizontal="left" vertical="top" indent="2"/>
    </xf>
    <xf numFmtId="0" fontId="26" fillId="2" borderId="0" xfId="0" applyFont="1" applyFill="1" applyAlignment="1">
      <alignment vertical="top" wrapText="1"/>
    </xf>
    <xf numFmtId="0" fontId="0" fillId="2" borderId="8" xfId="0" applyFill="1" applyBorder="1" applyAlignment="1">
      <alignment horizontal="left" vertical="top" indent="2"/>
    </xf>
    <xf numFmtId="0" fontId="0" fillId="2" borderId="7" xfId="0" applyFill="1" applyBorder="1" applyAlignment="1">
      <alignment horizontal="left" vertical="top" indent="2"/>
    </xf>
    <xf numFmtId="0" fontId="0" fillId="2" borderId="9" xfId="0" applyFill="1" applyBorder="1"/>
    <xf numFmtId="0" fontId="0" fillId="2" borderId="10" xfId="0" applyFill="1" applyBorder="1" applyAlignment="1">
      <alignment horizontal="left" vertical="top" indent="2"/>
    </xf>
    <xf numFmtId="0" fontId="0" fillId="2" borderId="0" xfId="0" applyFill="1" applyAlignment="1">
      <alignment horizontal="left" vertical="top" indent="2"/>
    </xf>
    <xf numFmtId="0" fontId="0" fillId="3" borderId="0" xfId="0" applyFill="1" applyAlignment="1">
      <alignment horizontal="left" vertical="top" indent="2"/>
    </xf>
    <xf numFmtId="0" fontId="12" fillId="2" borderId="0" xfId="0" applyFont="1" applyFill="1" applyAlignment="1">
      <alignment horizontal="left" vertical="top"/>
    </xf>
    <xf numFmtId="0" fontId="0" fillId="4" borderId="0" xfId="0" applyFill="1" applyAlignment="1">
      <alignment horizontal="left" vertical="top" indent="2"/>
    </xf>
    <xf numFmtId="0" fontId="0" fillId="5" borderId="0" xfId="0" applyFill="1" applyAlignment="1">
      <alignment horizontal="left" vertical="top" indent="2"/>
    </xf>
    <xf numFmtId="0" fontId="40" fillId="5" borderId="0" xfId="1" applyFont="1" applyFill="1" applyBorder="1"/>
    <xf numFmtId="0" fontId="40" fillId="5" borderId="0" xfId="1" quotePrefix="1" applyFont="1" applyFill="1" applyBorder="1"/>
    <xf numFmtId="0" fontId="12" fillId="2" borderId="0" xfId="0" applyFont="1" applyFill="1" applyAlignment="1">
      <alignment horizontal="left" vertical="top" indent="2"/>
    </xf>
    <xf numFmtId="0" fontId="12" fillId="2" borderId="0" xfId="0" applyFont="1" applyFill="1" applyAlignment="1">
      <alignment horizontal="left" vertical="top" wrapText="1" indent="2"/>
    </xf>
    <xf numFmtId="0" fontId="12" fillId="5" borderId="0" xfId="0" applyFont="1" applyFill="1" applyAlignment="1">
      <alignment horizontal="left" vertical="top" indent="2"/>
    </xf>
    <xf numFmtId="0" fontId="0" fillId="5" borderId="7" xfId="0" applyFill="1" applyBorder="1"/>
    <xf numFmtId="14" fontId="15" fillId="3" borderId="12" xfId="0" applyNumberFormat="1" applyFont="1" applyFill="1" applyBorder="1" applyAlignment="1" applyProtection="1">
      <alignment horizontal="left" vertical="center" wrapText="1"/>
      <protection locked="0"/>
    </xf>
    <xf numFmtId="0" fontId="13" fillId="5" borderId="5" xfId="0" applyFont="1" applyFill="1" applyBorder="1" applyAlignment="1">
      <alignment horizontal="left" vertical="center"/>
    </xf>
    <xf numFmtId="2" fontId="13" fillId="5" borderId="5" xfId="0" applyNumberFormat="1" applyFont="1" applyFill="1" applyBorder="1" applyAlignment="1">
      <alignment horizontal="left" vertical="center"/>
    </xf>
    <xf numFmtId="0" fontId="12" fillId="2" borderId="0" xfId="0" applyFont="1" applyFill="1" applyBorder="1" applyAlignment="1">
      <alignment horizontal="left" vertical="center"/>
    </xf>
    <xf numFmtId="2" fontId="12" fillId="2" borderId="0" xfId="0" applyNumberFormat="1" applyFont="1" applyFill="1" applyBorder="1" applyAlignment="1">
      <alignment horizontal="left" vertical="center"/>
    </xf>
    <xf numFmtId="2" fontId="0" fillId="5" borderId="10" xfId="0" applyNumberFormat="1" applyFill="1" applyBorder="1" applyAlignment="1">
      <alignment horizontal="left" vertical="center"/>
    </xf>
    <xf numFmtId="2" fontId="0" fillId="2" borderId="0" xfId="0" applyNumberFormat="1" applyFill="1" applyBorder="1" applyAlignment="1">
      <alignment horizontal="left" vertical="center"/>
    </xf>
    <xf numFmtId="2" fontId="12" fillId="5" borderId="8" xfId="0" applyNumberFormat="1" applyFont="1" applyFill="1" applyBorder="1" applyAlignment="1">
      <alignment horizontal="left" vertical="center"/>
    </xf>
    <xf numFmtId="0" fontId="13" fillId="0" borderId="11" xfId="0" applyFont="1" applyBorder="1" applyAlignment="1">
      <alignment horizontal="left" vertical="top" wrapText="1" indent="2"/>
    </xf>
    <xf numFmtId="0" fontId="13" fillId="0" borderId="1" xfId="0" applyFont="1" applyBorder="1" applyAlignment="1">
      <alignment horizontal="left" vertical="top" wrapText="1" indent="2"/>
    </xf>
    <xf numFmtId="0" fontId="36" fillId="6" borderId="8" xfId="0" applyFont="1" applyFill="1" applyBorder="1" applyAlignment="1">
      <alignment horizontal="left" vertical="center" indent="2"/>
    </xf>
    <xf numFmtId="0" fontId="36" fillId="6" borderId="7" xfId="0" applyFont="1" applyFill="1" applyBorder="1" applyAlignment="1">
      <alignment horizontal="left" vertical="center" indent="2"/>
    </xf>
    <xf numFmtId="0" fontId="36" fillId="6" borderId="9" xfId="0" applyFont="1" applyFill="1" applyBorder="1" applyAlignment="1">
      <alignment horizontal="left" vertical="center" indent="2"/>
    </xf>
    <xf numFmtId="0" fontId="36" fillId="6" borderId="10" xfId="0" applyFont="1" applyFill="1" applyBorder="1" applyAlignment="1">
      <alignment horizontal="left" vertical="center" indent="2"/>
    </xf>
    <xf numFmtId="0" fontId="36" fillId="6" borderId="0" xfId="0" applyFont="1" applyFill="1" applyAlignment="1">
      <alignment horizontal="left" vertical="center" indent="2"/>
    </xf>
    <xf numFmtId="0" fontId="36" fillId="6" borderId="2" xfId="0" applyFont="1" applyFill="1" applyBorder="1" applyAlignment="1">
      <alignment horizontal="left" vertical="center" indent="2"/>
    </xf>
    <xf numFmtId="0" fontId="12" fillId="2" borderId="10" xfId="0" applyFont="1" applyFill="1" applyBorder="1" applyAlignment="1">
      <alignment horizontal="left" wrapText="1" indent="2"/>
    </xf>
    <xf numFmtId="0" fontId="12" fillId="2" borderId="0" xfId="0" applyFont="1" applyFill="1" applyAlignment="1">
      <alignment horizontal="left" wrapText="1" indent="2"/>
    </xf>
    <xf numFmtId="0" fontId="13" fillId="0" borderId="10" xfId="0" applyFont="1" applyBorder="1" applyAlignment="1">
      <alignment horizontal="left" wrapText="1" indent="2"/>
    </xf>
    <xf numFmtId="0" fontId="13" fillId="0" borderId="0" xfId="0" applyFont="1" applyAlignment="1">
      <alignment horizontal="left" wrapText="1" indent="2"/>
    </xf>
    <xf numFmtId="0" fontId="13" fillId="2" borderId="10" xfId="0" applyFont="1" applyFill="1" applyBorder="1" applyAlignment="1">
      <alignment horizontal="left" wrapText="1" indent="2"/>
    </xf>
    <xf numFmtId="0" fontId="13" fillId="2" borderId="0" xfId="0" applyFont="1" applyFill="1" applyAlignment="1">
      <alignment horizontal="left" wrapText="1" indent="2"/>
    </xf>
    <xf numFmtId="0" fontId="13" fillId="2" borderId="11" xfId="0" applyFont="1" applyFill="1" applyBorder="1" applyAlignment="1">
      <alignment horizontal="left" wrapText="1" indent="2"/>
    </xf>
    <xf numFmtId="0" fontId="13" fillId="2" borderId="1" xfId="0" applyFont="1" applyFill="1" applyBorder="1" applyAlignment="1">
      <alignment horizontal="left" wrapText="1" indent="2"/>
    </xf>
    <xf numFmtId="0" fontId="33" fillId="6" borderId="0" xfId="0" applyFont="1" applyFill="1" applyAlignment="1">
      <alignment horizontal="left" vertical="center" indent="2"/>
    </xf>
    <xf numFmtId="0" fontId="31" fillId="0" borderId="10" xfId="0" applyFont="1" applyBorder="1" applyAlignment="1">
      <alignment horizontal="left" vertical="top" indent="2"/>
    </xf>
    <xf numFmtId="0" fontId="31" fillId="0" borderId="0" xfId="0" applyFont="1" applyAlignment="1">
      <alignment horizontal="left" vertical="top" indent="2"/>
    </xf>
    <xf numFmtId="0" fontId="13" fillId="0" borderId="10" xfId="0" applyFont="1" applyBorder="1" applyAlignment="1">
      <alignment horizontal="left" vertical="top" indent="2"/>
    </xf>
    <xf numFmtId="0" fontId="13" fillId="0" borderId="0" xfId="0" applyFont="1" applyAlignment="1">
      <alignment horizontal="left" vertical="top" indent="2"/>
    </xf>
    <xf numFmtId="0" fontId="13" fillId="0" borderId="0" xfId="0" applyFont="1" applyAlignment="1">
      <alignment horizontal="left" vertical="top" wrapText="1" indent="2"/>
    </xf>
    <xf numFmtId="0" fontId="8" fillId="2" borderId="10" xfId="0" applyFont="1" applyFill="1" applyBorder="1" applyAlignment="1">
      <alignment horizontal="left" vertical="top" wrapText="1" indent="2"/>
    </xf>
    <xf numFmtId="0" fontId="8" fillId="2" borderId="0" xfId="0" applyFont="1" applyFill="1" applyAlignment="1">
      <alignment horizontal="left" vertical="top" wrapText="1" indent="2"/>
    </xf>
    <xf numFmtId="0" fontId="12" fillId="2" borderId="10" xfId="0" applyFont="1" applyFill="1" applyBorder="1" applyAlignment="1">
      <alignment horizontal="left" vertical="top" indent="2"/>
    </xf>
    <xf numFmtId="0" fontId="12" fillId="2" borderId="0" xfId="0" applyFont="1" applyFill="1" applyAlignment="1">
      <alignment horizontal="left" vertical="top" indent="2"/>
    </xf>
    <xf numFmtId="0" fontId="13" fillId="2" borderId="0" xfId="0" applyFont="1" applyFill="1" applyAlignment="1">
      <alignment horizontal="left" vertical="top" wrapText="1" indent="2"/>
    </xf>
    <xf numFmtId="0" fontId="12" fillId="2" borderId="10" xfId="0" applyFont="1" applyFill="1" applyBorder="1" applyAlignment="1">
      <alignment horizontal="left" vertical="top" wrapText="1" indent="2"/>
    </xf>
    <xf numFmtId="0" fontId="12" fillId="2" borderId="0" xfId="0" applyFont="1" applyFill="1" applyAlignment="1">
      <alignment horizontal="left" vertical="top" wrapText="1" indent="2"/>
    </xf>
    <xf numFmtId="0" fontId="30" fillId="0" borderId="10" xfId="0" applyFont="1" applyBorder="1" applyAlignment="1">
      <alignment horizontal="left" vertical="center" indent="2"/>
    </xf>
    <xf numFmtId="0" fontId="30" fillId="0" borderId="0" xfId="0" applyFont="1" applyAlignment="1">
      <alignment horizontal="left" vertical="center" indent="2"/>
    </xf>
    <xf numFmtId="0" fontId="8" fillId="2" borderId="2" xfId="0" applyFont="1" applyFill="1" applyBorder="1" applyAlignment="1">
      <alignment horizontal="left" vertical="top" wrapText="1" indent="2"/>
    </xf>
    <xf numFmtId="0" fontId="32" fillId="2" borderId="0" xfId="1" applyFont="1" applyFill="1" applyAlignment="1" applyProtection="1">
      <protection locked="0"/>
    </xf>
    <xf numFmtId="0" fontId="32" fillId="0" borderId="0" xfId="1" applyFont="1" applyAlignment="1" applyProtection="1">
      <protection locked="0"/>
    </xf>
    <xf numFmtId="14" fontId="12" fillId="3" borderId="12" xfId="0" applyNumberFormat="1" applyFont="1" applyFill="1" applyBorder="1" applyAlignment="1" applyProtection="1">
      <alignment horizontal="left" vertical="center" wrapText="1"/>
      <protection locked="0"/>
    </xf>
    <xf numFmtId="0" fontId="12" fillId="3" borderId="14"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36" fillId="6" borderId="10" xfId="0" applyFont="1" applyFill="1" applyBorder="1" applyAlignment="1">
      <alignment horizontal="left" vertical="center" indent="3"/>
    </xf>
    <xf numFmtId="0" fontId="36" fillId="6" borderId="0" xfId="0" applyFont="1" applyFill="1" applyAlignment="1">
      <alignment horizontal="left" vertical="center" indent="3"/>
    </xf>
    <xf numFmtId="0" fontId="36" fillId="6" borderId="2" xfId="0" applyFont="1" applyFill="1" applyBorder="1" applyAlignment="1">
      <alignment horizontal="left" vertical="center" indent="3"/>
    </xf>
    <xf numFmtId="0" fontId="25" fillId="2" borderId="0" xfId="0" applyFont="1" applyFill="1" applyAlignment="1">
      <alignment horizontal="center"/>
    </xf>
    <xf numFmtId="0" fontId="8" fillId="2" borderId="0" xfId="0" applyFont="1" applyFill="1" applyAlignment="1">
      <alignment horizontal="center" vertical="center" wrapText="1"/>
    </xf>
    <xf numFmtId="0" fontId="35" fillId="2" borderId="0" xfId="0" applyFont="1" applyFill="1" applyAlignment="1">
      <alignment horizontal="center"/>
    </xf>
    <xf numFmtId="0" fontId="9" fillId="2" borderId="0" xfId="0" applyFont="1" applyFill="1" applyAlignment="1">
      <alignment horizontal="left" vertical="center" wrapText="1"/>
    </xf>
    <xf numFmtId="0" fontId="8" fillId="2" borderId="12" xfId="0" applyFont="1" applyFill="1" applyBorder="1" applyAlignment="1">
      <alignment horizontal="left"/>
    </xf>
    <xf numFmtId="0" fontId="9" fillId="2" borderId="14" xfId="0" applyFont="1" applyFill="1" applyBorder="1" applyAlignment="1">
      <alignment horizontal="left" vertical="center" wrapText="1"/>
    </xf>
    <xf numFmtId="0" fontId="35" fillId="2" borderId="0" xfId="0" applyFont="1" applyFill="1" applyAlignment="1">
      <alignment horizontal="center" vertical="center"/>
    </xf>
    <xf numFmtId="0" fontId="36" fillId="6" borderId="8" xfId="0" applyFont="1" applyFill="1" applyBorder="1" applyAlignment="1">
      <alignment horizontal="left" vertical="center" indent="3"/>
    </xf>
    <xf numFmtId="0" fontId="36" fillId="6" borderId="7" xfId="0" applyFont="1" applyFill="1" applyBorder="1" applyAlignment="1">
      <alignment horizontal="left" vertical="center" indent="3"/>
    </xf>
    <xf numFmtId="0" fontId="36" fillId="6" borderId="9" xfId="0" applyFont="1" applyFill="1" applyBorder="1" applyAlignment="1">
      <alignment horizontal="left" vertical="center" indent="3"/>
    </xf>
    <xf numFmtId="0" fontId="22" fillId="2" borderId="0" xfId="0" applyFont="1" applyFill="1" applyAlignment="1">
      <alignment horizontal="center" vertical="top"/>
    </xf>
    <xf numFmtId="0" fontId="8" fillId="2" borderId="0" xfId="0" applyFont="1" applyFill="1" applyAlignment="1">
      <alignment horizontal="left" vertical="center" wrapText="1"/>
    </xf>
    <xf numFmtId="2" fontId="17" fillId="2" borderId="0" xfId="0" applyNumberFormat="1" applyFont="1" applyFill="1" applyAlignment="1">
      <alignment horizontal="center" vertical="center"/>
    </xf>
    <xf numFmtId="2" fontId="17" fillId="4" borderId="0" xfId="0" applyNumberFormat="1" applyFont="1" applyFill="1" applyAlignment="1">
      <alignment horizontal="center" vertical="center"/>
    </xf>
  </cellXfs>
  <cellStyles count="2">
    <cellStyle name="Hyperlink" xfId="1" builtinId="8"/>
    <cellStyle name="Normal" xfId="0" builtinId="0"/>
  </cellStyles>
  <dxfs count="9">
    <dxf>
      <fill>
        <patternFill>
          <bgColor rgb="FFF7E8BE"/>
        </patternFill>
      </fill>
    </dxf>
    <dxf>
      <fill>
        <patternFill>
          <bgColor rgb="FFF7E8BE"/>
        </patternFill>
      </fill>
    </dxf>
    <dxf>
      <fill>
        <patternFill>
          <bgColor rgb="FFF7E8BE"/>
        </patternFill>
      </fill>
    </dxf>
    <dxf>
      <fill>
        <patternFill>
          <fgColor rgb="FFF7E8BE"/>
          <bgColor rgb="FFF7E8BE"/>
        </patternFill>
      </fill>
    </dxf>
    <dxf>
      <fill>
        <patternFill patternType="solid">
          <fgColor rgb="FFF7E8BE"/>
          <bgColor rgb="FFF7E8BE"/>
        </patternFill>
      </fill>
    </dxf>
    <dxf>
      <fill>
        <patternFill>
          <bgColor theme="0"/>
        </patternFill>
      </fill>
    </dxf>
    <dxf>
      <font>
        <b val="0"/>
        <i val="0"/>
        <strike val="0"/>
        <color auto="1"/>
      </font>
      <fill>
        <patternFill>
          <fgColor rgb="FFF7E8BE"/>
          <bgColor rgb="FFF7E8BE"/>
        </patternFill>
      </fill>
    </dxf>
    <dxf>
      <numFmt numFmtId="0" formatCode="General"/>
      <fill>
        <patternFill>
          <bgColor rgb="FF9DD3BE"/>
        </patternFill>
      </fill>
      <border>
        <left/>
        <right/>
        <top/>
        <bottom/>
      </border>
    </dxf>
    <dxf>
      <font>
        <strike val="0"/>
        <color theme="0"/>
      </font>
    </dxf>
  </dxfs>
  <tableStyles count="0" defaultTableStyle="TableStyleMedium2" defaultPivotStyle="PivotStyleLight16"/>
  <colors>
    <mruColors>
      <color rgb="FF449669"/>
      <color rgb="FFF7E8BE"/>
      <color rgb="FF9DD3BE"/>
      <color rgb="FFAAC7EE"/>
      <color rgb="FFF3EEDD"/>
      <color rgb="FF9DDBBE"/>
      <color rgb="FFC5C5C5"/>
      <color rgb="FFC5C1C7"/>
      <color rgb="FFE0CBFD"/>
      <color rgb="FFFECE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gov.uk/government/organisations/natural-england" TargetMode="External"/><Relationship Id="rId7" Type="http://schemas.openxmlformats.org/officeDocument/2006/relationships/hyperlink" Target="https://www.geograph.org.uk/photo/6159646" TargetMode="External"/><Relationship Id="rId2" Type="http://schemas.openxmlformats.org/officeDocument/2006/relationships/image" Target="../media/image1.png"/><Relationship Id="rId1" Type="http://schemas.openxmlformats.org/officeDocument/2006/relationships/hyperlink" Target="https://ee.ricardo.com/" TargetMode="External"/><Relationship Id="rId6" Type="http://schemas.openxmlformats.org/officeDocument/2006/relationships/image" Target="../media/image3.jpg"/><Relationship Id="rId5" Type="http://schemas.openxmlformats.org/officeDocument/2006/relationships/hyperlink" Target="#'Teesmouth &amp; Cleveland Coast SPA'!A1"/><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Stage 3'!A1"/><Relationship Id="rId7" Type="http://schemas.openxmlformats.org/officeDocument/2006/relationships/hyperlink" Target="#'Stage 4'!A1"/><Relationship Id="rId2" Type="http://schemas.openxmlformats.org/officeDocument/2006/relationships/image" Target="../media/image6.png"/><Relationship Id="rId1" Type="http://schemas.openxmlformats.org/officeDocument/2006/relationships/hyperlink" Target="#'Stage 1'!A1"/><Relationship Id="rId6" Type="http://schemas.openxmlformats.org/officeDocument/2006/relationships/image" Target="../media/image8.png"/><Relationship Id="rId5" Type="http://schemas.openxmlformats.org/officeDocument/2006/relationships/hyperlink" Target="#'Stage 2'!A1"/><Relationship Id="rId10" Type="http://schemas.openxmlformats.org/officeDocument/2006/relationships/image" Target="../media/image11.png"/><Relationship Id="rId4" Type="http://schemas.openxmlformats.org/officeDocument/2006/relationships/image" Target="../media/image7.png"/><Relationship Id="rId9" Type="http://schemas.openxmlformats.org/officeDocument/2006/relationships/image" Target="../media/image10.png"/></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Stage 3'!A1"/><Relationship Id="rId7" Type="http://schemas.openxmlformats.org/officeDocument/2006/relationships/hyperlink" Target="#'Stage 4'!A1"/><Relationship Id="rId2" Type="http://schemas.openxmlformats.org/officeDocument/2006/relationships/image" Target="../media/image6.png"/><Relationship Id="rId1" Type="http://schemas.openxmlformats.org/officeDocument/2006/relationships/hyperlink" Target="#'Stage 1'!A1"/><Relationship Id="rId6" Type="http://schemas.openxmlformats.org/officeDocument/2006/relationships/image" Target="../media/image8.png"/><Relationship Id="rId5" Type="http://schemas.openxmlformats.org/officeDocument/2006/relationships/hyperlink" Target="#'Stage 2'!A1"/><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6</xdr:row>
      <xdr:rowOff>0</xdr:rowOff>
    </xdr:from>
    <xdr:to>
      <xdr:col>3</xdr:col>
      <xdr:colOff>304800</xdr:colOff>
      <xdr:row>6</xdr:row>
      <xdr:rowOff>304800</xdr:rowOff>
    </xdr:to>
    <xdr:sp macro="" textlink="">
      <xdr:nvSpPr>
        <xdr:cNvPr id="6146" name="AutoShape 2">
          <a:extLst>
            <a:ext uri="{FF2B5EF4-FFF2-40B4-BE49-F238E27FC236}">
              <a16:creationId xmlns:a16="http://schemas.microsoft.com/office/drawing/2014/main" id="{F3FA525F-6FDB-4BEA-9A2F-1AB579041DD2}"/>
            </a:ext>
          </a:extLst>
        </xdr:cNvPr>
        <xdr:cNvSpPr>
          <a:spLocks noChangeAspect="1" noChangeArrowheads="1"/>
        </xdr:cNvSpPr>
      </xdr:nvSpPr>
      <xdr:spPr bwMode="auto">
        <a:xfrm>
          <a:off x="18288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5</xdr:row>
      <xdr:rowOff>0</xdr:rowOff>
    </xdr:from>
    <xdr:to>
      <xdr:col>5</xdr:col>
      <xdr:colOff>304800</xdr:colOff>
      <xdr:row>5</xdr:row>
      <xdr:rowOff>304800</xdr:rowOff>
    </xdr:to>
    <xdr:sp macro="" textlink="">
      <xdr:nvSpPr>
        <xdr:cNvPr id="6147" name="AutoShape 3">
          <a:extLst>
            <a:ext uri="{FF2B5EF4-FFF2-40B4-BE49-F238E27FC236}">
              <a16:creationId xmlns:a16="http://schemas.microsoft.com/office/drawing/2014/main" id="{B140DEB8-F359-4454-A33D-7ED25CD52F5B}"/>
            </a:ext>
          </a:extLst>
        </xdr:cNvPr>
        <xdr:cNvSpPr>
          <a:spLocks noChangeAspect="1" noChangeArrowheads="1"/>
        </xdr:cNvSpPr>
      </xdr:nvSpPr>
      <xdr:spPr bwMode="auto">
        <a:xfrm>
          <a:off x="3048000" y="95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38100</xdr:colOff>
      <xdr:row>1</xdr:row>
      <xdr:rowOff>152400</xdr:rowOff>
    </xdr:from>
    <xdr:to>
      <xdr:col>10</xdr:col>
      <xdr:colOff>346496</xdr:colOff>
      <xdr:row>4</xdr:row>
      <xdr:rowOff>275931</xdr:rowOff>
    </xdr:to>
    <xdr:pic>
      <xdr:nvPicPr>
        <xdr:cNvPr id="7" name="Picture 6">
          <a:hlinkClick xmlns:r="http://schemas.openxmlformats.org/officeDocument/2006/relationships" r:id="rId1"/>
          <a:extLst>
            <a:ext uri="{FF2B5EF4-FFF2-40B4-BE49-F238E27FC236}">
              <a16:creationId xmlns:a16="http://schemas.microsoft.com/office/drawing/2014/main" id="{A94DD4AD-3EEA-416C-B2EF-2E02AD1905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4100" y="514350"/>
          <a:ext cx="1832396" cy="1209381"/>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180976</xdr:colOff>
      <xdr:row>1</xdr:row>
      <xdr:rowOff>180975</xdr:rowOff>
    </xdr:from>
    <xdr:to>
      <xdr:col>4</xdr:col>
      <xdr:colOff>180975</xdr:colOff>
      <xdr:row>4</xdr:row>
      <xdr:rowOff>240510</xdr:rowOff>
    </xdr:to>
    <xdr:pic>
      <xdr:nvPicPr>
        <xdr:cNvPr id="10" name="Picture 9">
          <a:hlinkClick xmlns:r="http://schemas.openxmlformats.org/officeDocument/2006/relationships" r:id="rId3"/>
          <a:extLst>
            <a:ext uri="{FF2B5EF4-FFF2-40B4-BE49-F238E27FC236}">
              <a16:creationId xmlns:a16="http://schemas.microsoft.com/office/drawing/2014/main" id="{E2204205-FAF5-4B6B-A86F-01A92D2D6BB3}"/>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3333" t="2000" r="23445" b="2000"/>
        <a:stretch/>
      </xdr:blipFill>
      <xdr:spPr bwMode="auto">
        <a:xfrm>
          <a:off x="561976" y="542925"/>
          <a:ext cx="1142999" cy="1145385"/>
        </a:xfrm>
        <a:prstGeom prst="rect">
          <a:avLst/>
        </a:prstGeom>
        <a:noFill/>
        <a:effectLst>
          <a:outerShdw blurRad="63500" sx="102000" sy="102000" algn="ctr"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200024</xdr:colOff>
      <xdr:row>5</xdr:row>
      <xdr:rowOff>133351</xdr:rowOff>
    </xdr:from>
    <xdr:to>
      <xdr:col>11</xdr:col>
      <xdr:colOff>76199</xdr:colOff>
      <xdr:row>7</xdr:row>
      <xdr:rowOff>76200</xdr:rowOff>
    </xdr:to>
    <xdr:sp macro="" textlink="">
      <xdr:nvSpPr>
        <xdr:cNvPr id="8" name="TextBox 7">
          <a:extLst>
            <a:ext uri="{FF2B5EF4-FFF2-40B4-BE49-F238E27FC236}">
              <a16:creationId xmlns:a16="http://schemas.microsoft.com/office/drawing/2014/main" id="{2BC5E90D-F7DB-474F-BF74-1B4BF980360F}"/>
            </a:ext>
          </a:extLst>
        </xdr:cNvPr>
        <xdr:cNvSpPr txBox="1"/>
      </xdr:nvSpPr>
      <xdr:spPr>
        <a:xfrm>
          <a:off x="581024" y="1943101"/>
          <a:ext cx="3686175"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a:latin typeface="Century Gothic" panose="020B0502020202020204" pitchFamily="34" charset="0"/>
              <a:ea typeface="Segoe UI" panose="020B0502040204020203" pitchFamily="34" charset="0"/>
              <a:cs typeface="Segoe UI" panose="020B0502040204020203" pitchFamily="34" charset="0"/>
            </a:rPr>
            <a:t>Nutrient Neutrality Budget Calculator </a:t>
          </a: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3</xdr:col>
      <xdr:colOff>247649</xdr:colOff>
      <xdr:row>8</xdr:row>
      <xdr:rowOff>314326</xdr:rowOff>
    </xdr:from>
    <xdr:to>
      <xdr:col>9</xdr:col>
      <xdr:colOff>28575</xdr:colOff>
      <xdr:row>11</xdr:row>
      <xdr:rowOff>342900</xdr:rowOff>
    </xdr:to>
    <xdr:sp macro="" textlink="">
      <xdr:nvSpPr>
        <xdr:cNvPr id="16" name="TextBox 15">
          <a:hlinkClick xmlns:r="http://schemas.openxmlformats.org/officeDocument/2006/relationships" r:id="rId5"/>
          <a:extLst>
            <a:ext uri="{FF2B5EF4-FFF2-40B4-BE49-F238E27FC236}">
              <a16:creationId xmlns:a16="http://schemas.microsoft.com/office/drawing/2014/main" id="{DA266339-9600-4E62-B26B-3BF11ACB0CB9}"/>
            </a:ext>
          </a:extLst>
        </xdr:cNvPr>
        <xdr:cNvSpPr txBox="1"/>
      </xdr:nvSpPr>
      <xdr:spPr>
        <a:xfrm>
          <a:off x="1390649" y="3209926"/>
          <a:ext cx="2066926" cy="981074"/>
        </a:xfrm>
        <a:prstGeom prst="rect">
          <a:avLst/>
        </a:prstGeom>
        <a:solidFill>
          <a:schemeClr val="lt1"/>
        </a:solidFill>
        <a:ln w="38100" cmpd="sng">
          <a:solidFill>
            <a:srgbClr val="44966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a:solidFill>
                <a:srgbClr val="449669"/>
              </a:solidFill>
              <a:effectLst/>
              <a:latin typeface="Century Gothic" panose="020B0502020202020204" pitchFamily="34" charset="0"/>
              <a:ea typeface="+mn-ea"/>
              <a:cs typeface="+mn-cs"/>
            </a:rPr>
            <a:t>Teesmouth</a:t>
          </a:r>
          <a:r>
            <a:rPr lang="en-GB" sz="1800" b="1" baseline="0">
              <a:solidFill>
                <a:srgbClr val="449669"/>
              </a:solidFill>
              <a:effectLst/>
              <a:latin typeface="Century Gothic" panose="020B0502020202020204" pitchFamily="34" charset="0"/>
              <a:ea typeface="+mn-ea"/>
              <a:cs typeface="+mn-cs"/>
            </a:rPr>
            <a:t> &amp; Cleveland Coast SPA/Ramsar</a:t>
          </a:r>
          <a:r>
            <a:rPr lang="en-GB" sz="1800" b="1">
              <a:solidFill>
                <a:srgbClr val="449669"/>
              </a:solidFill>
              <a:effectLst/>
              <a:latin typeface="+mn-lt"/>
              <a:ea typeface="+mn-ea"/>
              <a:cs typeface="+mn-cs"/>
            </a:rPr>
            <a:t> </a:t>
          </a:r>
          <a:endParaRPr lang="en-GB" sz="1800" b="1">
            <a:solidFill>
              <a:srgbClr val="449669"/>
            </a:solidFill>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2</xdr:col>
      <xdr:colOff>209550</xdr:colOff>
      <xdr:row>5</xdr:row>
      <xdr:rowOff>66675</xdr:rowOff>
    </xdr:from>
    <xdr:to>
      <xdr:col>10</xdr:col>
      <xdr:colOff>57150</xdr:colOff>
      <xdr:row>5</xdr:row>
      <xdr:rowOff>66675</xdr:rowOff>
    </xdr:to>
    <xdr:cxnSp macro="">
      <xdr:nvCxnSpPr>
        <xdr:cNvPr id="14" name="Straight Connector 13">
          <a:extLst>
            <a:ext uri="{FF2B5EF4-FFF2-40B4-BE49-F238E27FC236}">
              <a16:creationId xmlns:a16="http://schemas.microsoft.com/office/drawing/2014/main" id="{FF16E9BF-5BA5-45AD-84A2-D9613662D088}"/>
            </a:ext>
          </a:extLst>
        </xdr:cNvPr>
        <xdr:cNvCxnSpPr/>
      </xdr:nvCxnSpPr>
      <xdr:spPr>
        <a:xfrm>
          <a:off x="971550" y="1876425"/>
          <a:ext cx="2895600"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200025</xdr:colOff>
      <xdr:row>11</xdr:row>
      <xdr:rowOff>561975</xdr:rowOff>
    </xdr:from>
    <xdr:to>
      <xdr:col>10</xdr:col>
      <xdr:colOff>47625</xdr:colOff>
      <xdr:row>11</xdr:row>
      <xdr:rowOff>561975</xdr:rowOff>
    </xdr:to>
    <xdr:cxnSp macro="">
      <xdr:nvCxnSpPr>
        <xdr:cNvPr id="19" name="Straight Connector 18">
          <a:extLst>
            <a:ext uri="{FF2B5EF4-FFF2-40B4-BE49-F238E27FC236}">
              <a16:creationId xmlns:a16="http://schemas.microsoft.com/office/drawing/2014/main" id="{3FC5B5CB-450A-4E2A-89F6-BD0FC229810C}"/>
            </a:ext>
          </a:extLst>
        </xdr:cNvPr>
        <xdr:cNvCxnSpPr/>
      </xdr:nvCxnSpPr>
      <xdr:spPr>
        <a:xfrm>
          <a:off x="962025" y="4410075"/>
          <a:ext cx="2895600"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xdr:colOff>
      <xdr:row>7</xdr:row>
      <xdr:rowOff>76201</xdr:rowOff>
    </xdr:from>
    <xdr:to>
      <xdr:col>10</xdr:col>
      <xdr:colOff>104775</xdr:colOff>
      <xdr:row>9</xdr:row>
      <xdr:rowOff>9525</xdr:rowOff>
    </xdr:to>
    <xdr:sp macro="" textlink="">
      <xdr:nvSpPr>
        <xdr:cNvPr id="20" name="TextBox 19">
          <a:extLst>
            <a:ext uri="{FF2B5EF4-FFF2-40B4-BE49-F238E27FC236}">
              <a16:creationId xmlns:a16="http://schemas.microsoft.com/office/drawing/2014/main" id="{19D50B77-7D40-4832-A893-F919EAE1C2A1}"/>
            </a:ext>
          </a:extLst>
        </xdr:cNvPr>
        <xdr:cNvSpPr txBox="1"/>
      </xdr:nvSpPr>
      <xdr:spPr>
        <a:xfrm>
          <a:off x="933450" y="2609851"/>
          <a:ext cx="2981325" cy="657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b="1">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rPr>
            <a:t>a</a:t>
          </a:r>
          <a:r>
            <a:rPr lang="en-GB" sz="1200" b="1" baseline="0">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rPr>
            <a:t> tool for assessing the nutrient loading to a Habitats Site</a:t>
          </a:r>
          <a:endParaRPr lang="en-GB" sz="1200" b="1">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editAs="oneCell">
    <xdr:from>
      <xdr:col>11</xdr:col>
      <xdr:colOff>349299</xdr:colOff>
      <xdr:row>1</xdr:row>
      <xdr:rowOff>184295</xdr:rowOff>
    </xdr:from>
    <xdr:to>
      <xdr:col>19</xdr:col>
      <xdr:colOff>123824</xdr:colOff>
      <xdr:row>10</xdr:row>
      <xdr:rowOff>215213</xdr:rowOff>
    </xdr:to>
    <xdr:pic>
      <xdr:nvPicPr>
        <xdr:cNvPr id="12" name="Picture 11">
          <a:extLst>
            <a:ext uri="{FF2B5EF4-FFF2-40B4-BE49-F238E27FC236}">
              <a16:creationId xmlns:a16="http://schemas.microsoft.com/office/drawing/2014/main" id="{D14C23C2-8755-46A0-B5ED-694153E2556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 uri="{837473B0-CC2E-450A-ABE3-18F120FF3D39}">
              <a1611:picAttrSrcUrl xmlns:a1611="http://schemas.microsoft.com/office/drawing/2016/11/main" r:id="rId7"/>
            </a:ext>
          </a:extLst>
        </a:blip>
        <a:srcRect/>
        <a:stretch/>
      </xdr:blipFill>
      <xdr:spPr bwMode="auto">
        <a:xfrm>
          <a:off x="4540299" y="546245"/>
          <a:ext cx="4384625" cy="3288468"/>
        </a:xfrm>
        <a:prstGeom prst="rect">
          <a:avLst/>
        </a:prstGeom>
        <a:noFill/>
        <a:effectLst>
          <a:outerShdw blurRad="63500" sx="102000" sy="102000" algn="ctr"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273842</xdr:colOff>
      <xdr:row>9</xdr:row>
      <xdr:rowOff>0</xdr:rowOff>
    </xdr:from>
    <xdr:to>
      <xdr:col>12</xdr:col>
      <xdr:colOff>133349</xdr:colOff>
      <xdr:row>31</xdr:row>
      <xdr:rowOff>97185</xdr:rowOff>
    </xdr:to>
    <xdr:pic>
      <xdr:nvPicPr>
        <xdr:cNvPr id="2" name="Picture 1">
          <a:extLst>
            <a:ext uri="{FF2B5EF4-FFF2-40B4-BE49-F238E27FC236}">
              <a16:creationId xmlns:a16="http://schemas.microsoft.com/office/drawing/2014/main" id="{D6D8B4AE-714F-4FFC-8D63-E78F65094B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30" r="330"/>
        <a:stretch/>
      </xdr:blipFill>
      <xdr:spPr>
        <a:xfrm>
          <a:off x="883442" y="2733675"/>
          <a:ext cx="6565107" cy="4288185"/>
        </a:xfrm>
        <a:prstGeom prst="rect">
          <a:avLst/>
        </a:prstGeom>
      </xdr:spPr>
    </xdr:pic>
    <xdr:clientData/>
  </xdr:twoCellAnchor>
  <xdr:twoCellAnchor>
    <xdr:from>
      <xdr:col>1</xdr:col>
      <xdr:colOff>107154</xdr:colOff>
      <xdr:row>9</xdr:row>
      <xdr:rowOff>71428</xdr:rowOff>
    </xdr:from>
    <xdr:to>
      <xdr:col>2</xdr:col>
      <xdr:colOff>288129</xdr:colOff>
      <xdr:row>12</xdr:row>
      <xdr:rowOff>23803</xdr:rowOff>
    </xdr:to>
    <xdr:sp macro="" textlink="">
      <xdr:nvSpPr>
        <xdr:cNvPr id="3" name="TextBox 2">
          <a:extLst>
            <a:ext uri="{FF2B5EF4-FFF2-40B4-BE49-F238E27FC236}">
              <a16:creationId xmlns:a16="http://schemas.microsoft.com/office/drawing/2014/main" id="{C834095C-A146-4410-A482-2B61843FFD7E}"/>
            </a:ext>
          </a:extLst>
        </xdr:cNvPr>
        <xdr:cNvSpPr txBox="1"/>
      </xdr:nvSpPr>
      <xdr:spPr>
        <a:xfrm>
          <a:off x="748504" y="2770178"/>
          <a:ext cx="8223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Figure 1:</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57150</xdr:colOff>
      <xdr:row>4</xdr:row>
      <xdr:rowOff>1</xdr:rowOff>
    </xdr:from>
    <xdr:to>
      <xdr:col>26</xdr:col>
      <xdr:colOff>19050</xdr:colOff>
      <xdr:row>13</xdr:row>
      <xdr:rowOff>123459</xdr:rowOff>
    </xdr:to>
    <xdr:pic>
      <xdr:nvPicPr>
        <xdr:cNvPr id="3" name="Picture 2">
          <a:extLst>
            <a:ext uri="{FF2B5EF4-FFF2-40B4-BE49-F238E27FC236}">
              <a16:creationId xmlns:a16="http://schemas.microsoft.com/office/drawing/2014/main" id="{8110D614-480B-46A3-B4FC-02466E252A4A}"/>
            </a:ext>
          </a:extLst>
        </xdr:cNvPr>
        <xdr:cNvPicPr>
          <a:picLocks noChangeAspect="1"/>
        </xdr:cNvPicPr>
      </xdr:nvPicPr>
      <xdr:blipFill>
        <a:blip xmlns:r="http://schemas.openxmlformats.org/officeDocument/2006/relationships" r:embed="rId1"/>
        <a:stretch>
          <a:fillRect/>
        </a:stretch>
      </xdr:blipFill>
      <xdr:spPr>
        <a:xfrm>
          <a:off x="7981950" y="771526"/>
          <a:ext cx="7391400" cy="5181233"/>
        </a:xfrm>
        <a:prstGeom prst="rect">
          <a:avLst/>
        </a:prstGeom>
        <a:ln w="38100">
          <a:solidFill>
            <a:srgbClr val="449669"/>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98066</xdr:colOff>
      <xdr:row>13</xdr:row>
      <xdr:rowOff>174224</xdr:rowOff>
    </xdr:from>
    <xdr:to>
      <xdr:col>4</xdr:col>
      <xdr:colOff>564810</xdr:colOff>
      <xdr:row>17</xdr:row>
      <xdr:rowOff>148570</xdr:rowOff>
    </xdr:to>
    <xdr:sp macro="" textlink="">
      <xdr:nvSpPr>
        <xdr:cNvPr id="2" name="TextBox 7">
          <a:extLst>
            <a:ext uri="{FF2B5EF4-FFF2-40B4-BE49-F238E27FC236}">
              <a16:creationId xmlns:a16="http://schemas.microsoft.com/office/drawing/2014/main" id="{43FDE457-386A-45B3-BBD8-ED43183024E7}"/>
            </a:ext>
          </a:extLst>
        </xdr:cNvPr>
        <xdr:cNvSpPr txBox="1"/>
      </xdr:nvSpPr>
      <xdr:spPr>
        <a:xfrm>
          <a:off x="2142766" y="2498324"/>
          <a:ext cx="1108094" cy="7109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1</a:t>
          </a:r>
        </a:p>
        <a:p>
          <a:r>
            <a:rPr lang="en-GB" sz="1100" b="0">
              <a:latin typeface="Arial" panose="020B0604020202020204" pitchFamily="34" charset="0"/>
              <a:cs typeface="Arial" panose="020B0604020202020204" pitchFamily="34" charset="0"/>
            </a:rPr>
            <a:t>Nutrient loading from additional wastewater </a:t>
          </a:r>
        </a:p>
      </xdr:txBody>
    </xdr:sp>
    <xdr:clientData/>
  </xdr:twoCellAnchor>
  <xdr:twoCellAnchor>
    <xdr:from>
      <xdr:col>5</xdr:col>
      <xdr:colOff>73920</xdr:colOff>
      <xdr:row>13</xdr:row>
      <xdr:rowOff>183749</xdr:rowOff>
    </xdr:from>
    <xdr:to>
      <xdr:col>6</xdr:col>
      <xdr:colOff>542130</xdr:colOff>
      <xdr:row>17</xdr:row>
      <xdr:rowOff>158095</xdr:rowOff>
    </xdr:to>
    <xdr:sp macro="" textlink="">
      <xdr:nvSpPr>
        <xdr:cNvPr id="3" name="TextBox 14">
          <a:extLst>
            <a:ext uri="{FF2B5EF4-FFF2-40B4-BE49-F238E27FC236}">
              <a16:creationId xmlns:a16="http://schemas.microsoft.com/office/drawing/2014/main" id="{7D9E7E6A-8450-4F31-8CA1-0D7FB4FEE0EA}"/>
            </a:ext>
          </a:extLst>
        </xdr:cNvPr>
        <xdr:cNvSpPr txBox="1"/>
      </xdr:nvSpPr>
      <xdr:spPr>
        <a:xfrm>
          <a:off x="3401320" y="2507849"/>
          <a:ext cx="1109560" cy="7109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2</a:t>
          </a:r>
        </a:p>
        <a:p>
          <a:r>
            <a:rPr lang="en-GB" sz="1100">
              <a:latin typeface="Arial" panose="020B0604020202020204" pitchFamily="34" charset="0"/>
              <a:cs typeface="Arial" panose="020B0604020202020204" pitchFamily="34" charset="0"/>
            </a:rPr>
            <a:t>Nutrient loading from current land use</a:t>
          </a:r>
        </a:p>
      </xdr:txBody>
    </xdr:sp>
    <xdr:clientData/>
  </xdr:twoCellAnchor>
  <xdr:twoCellAnchor>
    <xdr:from>
      <xdr:col>7</xdr:col>
      <xdr:colOff>62963</xdr:colOff>
      <xdr:row>13</xdr:row>
      <xdr:rowOff>183749</xdr:rowOff>
    </xdr:from>
    <xdr:to>
      <xdr:col>8</xdr:col>
      <xdr:colOff>529708</xdr:colOff>
      <xdr:row>17</xdr:row>
      <xdr:rowOff>158095</xdr:rowOff>
    </xdr:to>
    <xdr:sp macro="" textlink="">
      <xdr:nvSpPr>
        <xdr:cNvPr id="4" name="TextBox 15">
          <a:extLst>
            <a:ext uri="{FF2B5EF4-FFF2-40B4-BE49-F238E27FC236}">
              <a16:creationId xmlns:a16="http://schemas.microsoft.com/office/drawing/2014/main" id="{9FF1803B-2602-4809-922F-4C4B460283DF}"/>
            </a:ext>
          </a:extLst>
        </xdr:cNvPr>
        <xdr:cNvSpPr txBox="1"/>
      </xdr:nvSpPr>
      <xdr:spPr>
        <a:xfrm>
          <a:off x="4673063" y="2507849"/>
          <a:ext cx="1108095" cy="7109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3</a:t>
          </a:r>
        </a:p>
        <a:p>
          <a:r>
            <a:rPr lang="en-GB" sz="1100">
              <a:latin typeface="Arial" panose="020B0604020202020204" pitchFamily="34" charset="0"/>
              <a:cs typeface="Arial" panose="020B0604020202020204" pitchFamily="34" charset="0"/>
            </a:rPr>
            <a:t>Nutrient loading from future land use</a:t>
          </a:r>
        </a:p>
      </xdr:txBody>
    </xdr:sp>
    <xdr:clientData/>
  </xdr:twoCellAnchor>
  <xdr:twoCellAnchor>
    <xdr:from>
      <xdr:col>9</xdr:col>
      <xdr:colOff>48338</xdr:colOff>
      <xdr:row>14</xdr:row>
      <xdr:rowOff>12299</xdr:rowOff>
    </xdr:from>
    <xdr:to>
      <xdr:col>10</xdr:col>
      <xdr:colOff>515083</xdr:colOff>
      <xdr:row>17</xdr:row>
      <xdr:rowOff>13575</xdr:rowOff>
    </xdr:to>
    <xdr:sp macro="" textlink="">
      <xdr:nvSpPr>
        <xdr:cNvPr id="5" name="TextBox 16">
          <a:extLst>
            <a:ext uri="{FF2B5EF4-FFF2-40B4-BE49-F238E27FC236}">
              <a16:creationId xmlns:a16="http://schemas.microsoft.com/office/drawing/2014/main" id="{B91382C3-B236-4E0B-BFAC-A77783A6E0C1}"/>
            </a:ext>
          </a:extLst>
        </xdr:cNvPr>
        <xdr:cNvSpPr txBox="1"/>
      </xdr:nvSpPr>
      <xdr:spPr>
        <a:xfrm>
          <a:off x="5941138" y="2520549"/>
          <a:ext cx="1108095" cy="55372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4</a:t>
          </a:r>
        </a:p>
        <a:p>
          <a:r>
            <a:rPr lang="en-GB" sz="1100">
              <a:latin typeface="Arial" panose="020B0604020202020204" pitchFamily="34" charset="0"/>
              <a:cs typeface="Arial" panose="020B0604020202020204" pitchFamily="34" charset="0"/>
            </a:rPr>
            <a:t>Nutrient budget calculation</a:t>
          </a:r>
        </a:p>
      </xdr:txBody>
    </xdr:sp>
    <xdr:clientData/>
  </xdr:twoCellAnchor>
  <xdr:twoCellAnchor editAs="oneCell">
    <xdr:from>
      <xdr:col>3</xdr:col>
      <xdr:colOff>0</xdr:colOff>
      <xdr:row>8</xdr:row>
      <xdr:rowOff>123826</xdr:rowOff>
    </xdr:from>
    <xdr:to>
      <xdr:col>5</xdr:col>
      <xdr:colOff>66676</xdr:colOff>
      <xdr:row>14</xdr:row>
      <xdr:rowOff>35163</xdr:rowOff>
    </xdr:to>
    <xdr:pic>
      <xdr:nvPicPr>
        <xdr:cNvPr id="6" name="Picture 5">
          <a:hlinkClick xmlns:r="http://schemas.openxmlformats.org/officeDocument/2006/relationships" r:id="rId1"/>
          <a:extLst>
            <a:ext uri="{FF2B5EF4-FFF2-40B4-BE49-F238E27FC236}">
              <a16:creationId xmlns:a16="http://schemas.microsoft.com/office/drawing/2014/main" id="{9E746C0C-3AAD-4424-BC55-02ED5BC052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4700" y="1527176"/>
          <a:ext cx="1346201" cy="1000362"/>
        </a:xfrm>
        <a:prstGeom prst="rect">
          <a:avLst/>
        </a:prstGeom>
      </xdr:spPr>
    </xdr:pic>
    <xdr:clientData/>
  </xdr:twoCellAnchor>
  <xdr:twoCellAnchor editAs="oneCell">
    <xdr:from>
      <xdr:col>6</xdr:col>
      <xdr:colOff>569393</xdr:colOff>
      <xdr:row>8</xdr:row>
      <xdr:rowOff>121426</xdr:rowOff>
    </xdr:from>
    <xdr:to>
      <xdr:col>9</xdr:col>
      <xdr:colOff>36288</xdr:colOff>
      <xdr:row>14</xdr:row>
      <xdr:rowOff>29656</xdr:rowOff>
    </xdr:to>
    <xdr:pic>
      <xdr:nvPicPr>
        <xdr:cNvPr id="7" name="Picture 6">
          <a:hlinkClick xmlns:r="http://schemas.openxmlformats.org/officeDocument/2006/relationships" r:id="rId3"/>
          <a:extLst>
            <a:ext uri="{FF2B5EF4-FFF2-40B4-BE49-F238E27FC236}">
              <a16:creationId xmlns:a16="http://schemas.microsoft.com/office/drawing/2014/main" id="{3DDFCC97-E878-408A-AD0F-557CA233418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38143" y="1524776"/>
          <a:ext cx="1381420" cy="994080"/>
        </a:xfrm>
        <a:prstGeom prst="rect">
          <a:avLst/>
        </a:prstGeom>
      </xdr:spPr>
    </xdr:pic>
    <xdr:clientData/>
  </xdr:twoCellAnchor>
  <xdr:twoCellAnchor editAs="oneCell">
    <xdr:from>
      <xdr:col>4</xdr:col>
      <xdr:colOff>586978</xdr:colOff>
      <xdr:row>8</xdr:row>
      <xdr:rowOff>0</xdr:rowOff>
    </xdr:from>
    <xdr:to>
      <xdr:col>7</xdr:col>
      <xdr:colOff>56113</xdr:colOff>
      <xdr:row>13</xdr:row>
      <xdr:rowOff>85739</xdr:rowOff>
    </xdr:to>
    <xdr:pic>
      <xdr:nvPicPr>
        <xdr:cNvPr id="8" name="Picture 7">
          <a:hlinkClick xmlns:r="http://schemas.openxmlformats.org/officeDocument/2006/relationships" r:id="rId5"/>
          <a:extLst>
            <a:ext uri="{FF2B5EF4-FFF2-40B4-BE49-F238E27FC236}">
              <a16:creationId xmlns:a16="http://schemas.microsoft.com/office/drawing/2014/main" id="{F2B8FA5C-FA83-404E-B3C8-A2841CFA70A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273028" y="1403350"/>
          <a:ext cx="1386835" cy="987439"/>
        </a:xfrm>
        <a:prstGeom prst="rect">
          <a:avLst/>
        </a:prstGeom>
      </xdr:spPr>
    </xdr:pic>
    <xdr:clientData/>
  </xdr:twoCellAnchor>
  <xdr:twoCellAnchor editAs="oneCell">
    <xdr:from>
      <xdr:col>8</xdr:col>
      <xdr:colOff>552868</xdr:colOff>
      <xdr:row>8</xdr:row>
      <xdr:rowOff>0</xdr:rowOff>
    </xdr:from>
    <xdr:to>
      <xdr:col>11</xdr:col>
      <xdr:colOff>28313</xdr:colOff>
      <xdr:row>13</xdr:row>
      <xdr:rowOff>86194</xdr:rowOff>
    </xdr:to>
    <xdr:pic>
      <xdr:nvPicPr>
        <xdr:cNvPr id="9" name="Picture 8">
          <a:hlinkClick xmlns:r="http://schemas.openxmlformats.org/officeDocument/2006/relationships" r:id="rId7"/>
          <a:extLst>
            <a:ext uri="{FF2B5EF4-FFF2-40B4-BE49-F238E27FC236}">
              <a16:creationId xmlns:a16="http://schemas.microsoft.com/office/drawing/2014/main" id="{7E6E09CC-C44D-4EB2-8DC1-B2CFB798DF3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804318" y="1403350"/>
          <a:ext cx="1393145" cy="994244"/>
        </a:xfrm>
        <a:prstGeom prst="rect">
          <a:avLst/>
        </a:prstGeom>
      </xdr:spPr>
    </xdr:pic>
    <xdr:clientData/>
  </xdr:twoCellAnchor>
  <xdr:twoCellAnchor editAs="oneCell">
    <xdr:from>
      <xdr:col>0</xdr:col>
      <xdr:colOff>373254</xdr:colOff>
      <xdr:row>66</xdr:row>
      <xdr:rowOff>99703</xdr:rowOff>
    </xdr:from>
    <xdr:to>
      <xdr:col>12</xdr:col>
      <xdr:colOff>523876</xdr:colOff>
      <xdr:row>70</xdr:row>
      <xdr:rowOff>256081</xdr:rowOff>
    </xdr:to>
    <xdr:pic>
      <xdr:nvPicPr>
        <xdr:cNvPr id="10" name="Picture 9">
          <a:extLst>
            <a:ext uri="{FF2B5EF4-FFF2-40B4-BE49-F238E27FC236}">
              <a16:creationId xmlns:a16="http://schemas.microsoft.com/office/drawing/2014/main" id="{AB4CA78B-CE3C-4B6B-AE26-7B3B728C546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73254" y="17593953"/>
          <a:ext cx="7938897" cy="1794678"/>
        </a:xfrm>
        <a:prstGeom prst="rect">
          <a:avLst/>
        </a:prstGeom>
      </xdr:spPr>
    </xdr:pic>
    <xdr:clientData/>
  </xdr:twoCellAnchor>
  <xdr:twoCellAnchor editAs="oneCell">
    <xdr:from>
      <xdr:col>2</xdr:col>
      <xdr:colOff>561977</xdr:colOff>
      <xdr:row>27</xdr:row>
      <xdr:rowOff>104779</xdr:rowOff>
    </xdr:from>
    <xdr:to>
      <xdr:col>11</xdr:col>
      <xdr:colOff>101906</xdr:colOff>
      <xdr:row>35</xdr:row>
      <xdr:rowOff>428625</xdr:rowOff>
    </xdr:to>
    <xdr:pic>
      <xdr:nvPicPr>
        <xdr:cNvPr id="11" name="Picture 10">
          <a:extLst>
            <a:ext uri="{FF2B5EF4-FFF2-40B4-BE49-F238E27FC236}">
              <a16:creationId xmlns:a16="http://schemas.microsoft.com/office/drawing/2014/main" id="{245F319D-FA64-4600-B4F4-FA99C46959CE}"/>
            </a:ext>
          </a:extLst>
        </xdr:cNvPr>
        <xdr:cNvPicPr>
          <a:picLocks noChangeAspect="1"/>
        </xdr:cNvPicPr>
      </xdr:nvPicPr>
      <xdr:blipFill rotWithShape="1">
        <a:blip xmlns:r="http://schemas.openxmlformats.org/officeDocument/2006/relationships" r:embed="rId10"/>
        <a:srcRect l="51428" t="38163" r="34591" b="44722"/>
        <a:stretch/>
      </xdr:blipFill>
      <xdr:spPr>
        <a:xfrm>
          <a:off x="1844677" y="5127629"/>
          <a:ext cx="5407329" cy="17144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xdr:row>
      <xdr:rowOff>57149</xdr:rowOff>
    </xdr:from>
    <xdr:to>
      <xdr:col>3</xdr:col>
      <xdr:colOff>0</xdr:colOff>
      <xdr:row>4</xdr:row>
      <xdr:rowOff>72149</xdr:rowOff>
    </xdr:to>
    <xdr:sp macro="" textlink="">
      <xdr:nvSpPr>
        <xdr:cNvPr id="2" name="TextBox 1">
          <a:extLst>
            <a:ext uri="{FF2B5EF4-FFF2-40B4-BE49-F238E27FC236}">
              <a16:creationId xmlns:a16="http://schemas.microsoft.com/office/drawing/2014/main" id="{F6659CFF-5286-40D7-98F4-B757E28119DB}"/>
            </a:ext>
          </a:extLst>
        </xdr:cNvPr>
        <xdr:cNvSpPr txBox="1"/>
      </xdr:nvSpPr>
      <xdr:spPr>
        <a:xfrm>
          <a:off x="628650" y="438149"/>
          <a:ext cx="3629025" cy="396000"/>
        </a:xfrm>
        <a:prstGeom prst="rect">
          <a:avLst/>
        </a:prstGeom>
        <a:solidFill>
          <a:schemeClr val="lt1"/>
        </a:solidFill>
        <a:ln w="38100" cmpd="sng">
          <a:solidFill>
            <a:srgbClr val="44966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800" b="1">
              <a:solidFill>
                <a:srgbClr val="449669"/>
              </a:solidFill>
              <a:effectLst/>
              <a:latin typeface="Century Gothic" panose="020B0502020202020204" pitchFamily="34" charset="0"/>
              <a:ea typeface="+mn-ea"/>
              <a:cs typeface="+mn-cs"/>
            </a:rPr>
            <a:t>Stage</a:t>
          </a:r>
          <a:r>
            <a:rPr lang="en-GB" sz="1800" b="1" baseline="0">
              <a:solidFill>
                <a:srgbClr val="449669"/>
              </a:solidFill>
              <a:effectLst/>
              <a:latin typeface="Century Gothic" panose="020B0502020202020204" pitchFamily="34" charset="0"/>
              <a:ea typeface="+mn-ea"/>
              <a:cs typeface="+mn-cs"/>
            </a:rPr>
            <a:t> 4</a:t>
          </a: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0</xdr:col>
      <xdr:colOff>552450</xdr:colOff>
      <xdr:row>4</xdr:row>
      <xdr:rowOff>180975</xdr:rowOff>
    </xdr:from>
    <xdr:to>
      <xdr:col>3</xdr:col>
      <xdr:colOff>66675</xdr:colOff>
      <xdr:row>6</xdr:row>
      <xdr:rowOff>133349</xdr:rowOff>
    </xdr:to>
    <xdr:sp macro="" textlink="">
      <xdr:nvSpPr>
        <xdr:cNvPr id="3" name="TextBox 2">
          <a:extLst>
            <a:ext uri="{FF2B5EF4-FFF2-40B4-BE49-F238E27FC236}">
              <a16:creationId xmlns:a16="http://schemas.microsoft.com/office/drawing/2014/main" id="{DC6F458F-5243-4801-8D6D-68E79E45F72B}"/>
            </a:ext>
          </a:extLst>
        </xdr:cNvPr>
        <xdr:cNvSpPr txBox="1"/>
      </xdr:nvSpPr>
      <xdr:spPr>
        <a:xfrm>
          <a:off x="552450" y="942975"/>
          <a:ext cx="3771900" cy="361949"/>
        </a:xfrm>
        <a:prstGeom prst="rect">
          <a:avLst/>
        </a:prstGeom>
        <a:solidFill>
          <a:schemeClr val="lt1"/>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ysClr val="windowText" lastClr="000000"/>
              </a:solidFill>
              <a:effectLst/>
              <a:latin typeface="Century Gothic" panose="020B0502020202020204" pitchFamily="34" charset="0"/>
              <a:ea typeface="+mn-ea"/>
              <a:cs typeface="+mn-cs"/>
            </a:rPr>
            <a:t>Calculated</a:t>
          </a:r>
          <a:r>
            <a:rPr lang="en-GB" sz="1200" b="1" baseline="0">
              <a:solidFill>
                <a:sysClr val="windowText" lastClr="000000"/>
              </a:solidFill>
              <a:effectLst/>
              <a:latin typeface="Century Gothic" panose="020B0502020202020204" pitchFamily="34" charset="0"/>
              <a:ea typeface="+mn-ea"/>
              <a:cs typeface="+mn-cs"/>
            </a:rPr>
            <a:t> </a:t>
          </a:r>
          <a:r>
            <a:rPr lang="en-GB" sz="1200" b="1">
              <a:solidFill>
                <a:sysClr val="windowText" lastClr="000000"/>
              </a:solidFill>
              <a:effectLst/>
              <a:latin typeface="Century Gothic" panose="020B0502020202020204" pitchFamily="34" charset="0"/>
              <a:ea typeface="+mn-ea"/>
              <a:cs typeface="+mn-cs"/>
            </a:rPr>
            <a:t>Outputs</a:t>
          </a:r>
          <a:endParaRPr lang="en-GB" sz="1200" b="1">
            <a:solidFill>
              <a:sysClr val="windowText" lastClr="000000"/>
            </a:solidFill>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1</xdr:col>
      <xdr:colOff>1558556</xdr:colOff>
      <xdr:row>5</xdr:row>
      <xdr:rowOff>19050</xdr:rowOff>
    </xdr:from>
    <xdr:to>
      <xdr:col>2</xdr:col>
      <xdr:colOff>257618</xdr:colOff>
      <xdr:row>5</xdr:row>
      <xdr:rowOff>19050</xdr:rowOff>
    </xdr:to>
    <xdr:cxnSp macro="">
      <xdr:nvCxnSpPr>
        <xdr:cNvPr id="4" name="Straight Connector 3">
          <a:extLst>
            <a:ext uri="{FF2B5EF4-FFF2-40B4-BE49-F238E27FC236}">
              <a16:creationId xmlns:a16="http://schemas.microsoft.com/office/drawing/2014/main" id="{935094C3-62FA-4563-A21D-C0A8CA6D4D15}"/>
            </a:ext>
          </a:extLst>
        </xdr:cNvPr>
        <xdr:cNvCxnSpPr/>
      </xdr:nvCxnSpPr>
      <xdr:spPr>
        <a:xfrm>
          <a:off x="2168156" y="971550"/>
          <a:ext cx="556437"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1558556</xdr:colOff>
      <xdr:row>6</xdr:row>
      <xdr:rowOff>95250</xdr:rowOff>
    </xdr:from>
    <xdr:to>
      <xdr:col>2</xdr:col>
      <xdr:colOff>257618</xdr:colOff>
      <xdr:row>6</xdr:row>
      <xdr:rowOff>95250</xdr:rowOff>
    </xdr:to>
    <xdr:cxnSp macro="">
      <xdr:nvCxnSpPr>
        <xdr:cNvPr id="5" name="Straight Connector 4">
          <a:extLst>
            <a:ext uri="{FF2B5EF4-FFF2-40B4-BE49-F238E27FC236}">
              <a16:creationId xmlns:a16="http://schemas.microsoft.com/office/drawing/2014/main" id="{4BE1D860-027E-463E-9523-BF967B628009}"/>
            </a:ext>
          </a:extLst>
        </xdr:cNvPr>
        <xdr:cNvCxnSpPr/>
      </xdr:nvCxnSpPr>
      <xdr:spPr>
        <a:xfrm>
          <a:off x="2168156" y="1266825"/>
          <a:ext cx="556437"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174266</xdr:colOff>
      <xdr:row>18</xdr:row>
      <xdr:rowOff>69449</xdr:rowOff>
    </xdr:from>
    <xdr:to>
      <xdr:col>10</xdr:col>
      <xdr:colOff>164760</xdr:colOff>
      <xdr:row>20</xdr:row>
      <xdr:rowOff>28450</xdr:rowOff>
    </xdr:to>
    <xdr:sp macro="" textlink="">
      <xdr:nvSpPr>
        <xdr:cNvPr id="6" name="TextBox 7">
          <a:extLst>
            <a:ext uri="{FF2B5EF4-FFF2-40B4-BE49-F238E27FC236}">
              <a16:creationId xmlns:a16="http://schemas.microsoft.com/office/drawing/2014/main" id="{A33283A2-3285-46F7-84EB-4AA89F75F0AF}"/>
            </a:ext>
          </a:extLst>
        </xdr:cNvPr>
        <xdr:cNvSpPr txBox="1"/>
      </xdr:nvSpPr>
      <xdr:spPr>
        <a:xfrm>
          <a:off x="8099066" y="3879449"/>
          <a:ext cx="1076344" cy="397151"/>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1</a:t>
          </a:r>
        </a:p>
        <a:p>
          <a:r>
            <a:rPr lang="en-GB" sz="1100" b="0">
              <a:latin typeface="Arial" panose="020B0604020202020204" pitchFamily="34" charset="0"/>
              <a:cs typeface="Arial" panose="020B0604020202020204" pitchFamily="34" charset="0"/>
            </a:rPr>
            <a:t>Value:</a:t>
          </a:r>
        </a:p>
      </xdr:txBody>
    </xdr:sp>
    <xdr:clientData/>
  </xdr:twoCellAnchor>
  <xdr:twoCellAnchor>
    <xdr:from>
      <xdr:col>10</xdr:col>
      <xdr:colOff>283470</xdr:colOff>
      <xdr:row>18</xdr:row>
      <xdr:rowOff>78974</xdr:rowOff>
    </xdr:from>
    <xdr:to>
      <xdr:col>12</xdr:col>
      <xdr:colOff>142080</xdr:colOff>
      <xdr:row>21</xdr:row>
      <xdr:rowOff>158095</xdr:rowOff>
    </xdr:to>
    <xdr:sp macro="" textlink="">
      <xdr:nvSpPr>
        <xdr:cNvPr id="7" name="TextBox 14">
          <a:extLst>
            <a:ext uri="{FF2B5EF4-FFF2-40B4-BE49-F238E27FC236}">
              <a16:creationId xmlns:a16="http://schemas.microsoft.com/office/drawing/2014/main" id="{568BEE80-E58D-4EA6-8C38-17AB8BAA4BAA}"/>
            </a:ext>
          </a:extLst>
        </xdr:cNvPr>
        <xdr:cNvSpPr txBox="1"/>
      </xdr:nvSpPr>
      <xdr:spPr>
        <a:xfrm>
          <a:off x="9294120" y="3888974"/>
          <a:ext cx="1077810"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2</a:t>
          </a:r>
        </a:p>
        <a:p>
          <a:r>
            <a:rPr lang="en-GB" sz="1100">
              <a:latin typeface="Arial" panose="020B0604020202020204" pitchFamily="34" charset="0"/>
              <a:cs typeface="Arial" panose="020B0604020202020204" pitchFamily="34" charset="0"/>
            </a:rPr>
            <a:t>Nutrient loading from current land use</a:t>
          </a:r>
        </a:p>
      </xdr:txBody>
    </xdr:sp>
    <xdr:clientData/>
  </xdr:twoCellAnchor>
  <xdr:twoCellAnchor>
    <xdr:from>
      <xdr:col>12</xdr:col>
      <xdr:colOff>272513</xdr:colOff>
      <xdr:row>18</xdr:row>
      <xdr:rowOff>78974</xdr:rowOff>
    </xdr:from>
    <xdr:to>
      <xdr:col>14</xdr:col>
      <xdr:colOff>129658</xdr:colOff>
      <xdr:row>21</xdr:row>
      <xdr:rowOff>158095</xdr:rowOff>
    </xdr:to>
    <xdr:sp macro="" textlink="">
      <xdr:nvSpPr>
        <xdr:cNvPr id="8" name="TextBox 15">
          <a:extLst>
            <a:ext uri="{FF2B5EF4-FFF2-40B4-BE49-F238E27FC236}">
              <a16:creationId xmlns:a16="http://schemas.microsoft.com/office/drawing/2014/main" id="{16337382-E2DF-4335-9BD5-709929421A4C}"/>
            </a:ext>
          </a:extLst>
        </xdr:cNvPr>
        <xdr:cNvSpPr txBox="1"/>
      </xdr:nvSpPr>
      <xdr:spPr>
        <a:xfrm>
          <a:off x="10502363" y="3888974"/>
          <a:ext cx="1076345"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3</a:t>
          </a:r>
        </a:p>
        <a:p>
          <a:r>
            <a:rPr lang="en-GB" sz="1100">
              <a:latin typeface="Arial" panose="020B0604020202020204" pitchFamily="34" charset="0"/>
              <a:cs typeface="Arial" panose="020B0604020202020204" pitchFamily="34" charset="0"/>
            </a:rPr>
            <a:t>Nutrient loading from future land use</a:t>
          </a:r>
        </a:p>
      </xdr:txBody>
    </xdr:sp>
    <xdr:clientData/>
  </xdr:twoCellAnchor>
  <xdr:twoCellAnchor>
    <xdr:from>
      <xdr:col>14</xdr:col>
      <xdr:colOff>257888</xdr:colOff>
      <xdr:row>18</xdr:row>
      <xdr:rowOff>98024</xdr:rowOff>
    </xdr:from>
    <xdr:to>
      <xdr:col>16</xdr:col>
      <xdr:colOff>115033</xdr:colOff>
      <xdr:row>21</xdr:row>
      <xdr:rowOff>13575</xdr:rowOff>
    </xdr:to>
    <xdr:sp macro="" textlink="">
      <xdr:nvSpPr>
        <xdr:cNvPr id="9" name="TextBox 16">
          <a:extLst>
            <a:ext uri="{FF2B5EF4-FFF2-40B4-BE49-F238E27FC236}">
              <a16:creationId xmlns:a16="http://schemas.microsoft.com/office/drawing/2014/main" id="{FB53914C-1439-4AB8-92D7-6CA707289620}"/>
            </a:ext>
          </a:extLst>
        </xdr:cNvPr>
        <xdr:cNvSpPr txBox="1"/>
      </xdr:nvSpPr>
      <xdr:spPr>
        <a:xfrm>
          <a:off x="11706938" y="3908024"/>
          <a:ext cx="1076345" cy="57277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4</a:t>
          </a:r>
        </a:p>
        <a:p>
          <a:r>
            <a:rPr lang="en-GB" sz="1100">
              <a:latin typeface="Arial" panose="020B0604020202020204" pitchFamily="34" charset="0"/>
              <a:cs typeface="Arial" panose="020B0604020202020204" pitchFamily="34" charset="0"/>
            </a:rPr>
            <a:t>Nutrient budget calculation</a:t>
          </a:r>
        </a:p>
      </xdr:txBody>
    </xdr:sp>
    <xdr:clientData/>
  </xdr:twoCellAnchor>
  <xdr:twoCellAnchor editAs="oneCell">
    <xdr:from>
      <xdr:col>8</xdr:col>
      <xdr:colOff>76200</xdr:colOff>
      <xdr:row>13</xdr:row>
      <xdr:rowOff>76201</xdr:rowOff>
    </xdr:from>
    <xdr:to>
      <xdr:col>10</xdr:col>
      <xdr:colOff>276226</xdr:colOff>
      <xdr:row>18</xdr:row>
      <xdr:rowOff>84282</xdr:rowOff>
    </xdr:to>
    <xdr:pic>
      <xdr:nvPicPr>
        <xdr:cNvPr id="10" name="Picture 9">
          <a:hlinkClick xmlns:r="http://schemas.openxmlformats.org/officeDocument/2006/relationships" r:id="rId1"/>
          <a:extLst>
            <a:ext uri="{FF2B5EF4-FFF2-40B4-BE49-F238E27FC236}">
              <a16:creationId xmlns:a16="http://schemas.microsoft.com/office/drawing/2014/main" id="{CF9F181F-F076-4A15-9A81-9FFA380081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1000" y="2876551"/>
          <a:ext cx="1285876" cy="1017731"/>
        </a:xfrm>
        <a:prstGeom prst="rect">
          <a:avLst/>
        </a:prstGeom>
      </xdr:spPr>
    </xdr:pic>
    <xdr:clientData/>
  </xdr:twoCellAnchor>
  <xdr:twoCellAnchor editAs="oneCell">
    <xdr:from>
      <xdr:col>12</xdr:col>
      <xdr:colOff>169343</xdr:colOff>
      <xdr:row>13</xdr:row>
      <xdr:rowOff>73801</xdr:rowOff>
    </xdr:from>
    <xdr:to>
      <xdr:col>14</xdr:col>
      <xdr:colOff>242663</xdr:colOff>
      <xdr:row>18</xdr:row>
      <xdr:rowOff>88300</xdr:rowOff>
    </xdr:to>
    <xdr:pic>
      <xdr:nvPicPr>
        <xdr:cNvPr id="11" name="Picture 10">
          <a:hlinkClick xmlns:r="http://schemas.openxmlformats.org/officeDocument/2006/relationships" r:id="rId3"/>
          <a:extLst>
            <a:ext uri="{FF2B5EF4-FFF2-40B4-BE49-F238E27FC236}">
              <a16:creationId xmlns:a16="http://schemas.microsoft.com/office/drawing/2014/main" id="{E398EA38-93DD-45FF-9C31-D9A63D84641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99193" y="2874151"/>
          <a:ext cx="1292520" cy="1024149"/>
        </a:xfrm>
        <a:prstGeom prst="rect">
          <a:avLst/>
        </a:prstGeom>
      </xdr:spPr>
    </xdr:pic>
    <xdr:clientData/>
  </xdr:twoCellAnchor>
  <xdr:twoCellAnchor editAs="oneCell">
    <xdr:from>
      <xdr:col>10</xdr:col>
      <xdr:colOff>186928</xdr:colOff>
      <xdr:row>12</xdr:row>
      <xdr:rowOff>95250</xdr:rowOff>
    </xdr:from>
    <xdr:to>
      <xdr:col>12</xdr:col>
      <xdr:colOff>259313</xdr:colOff>
      <xdr:row>17</xdr:row>
      <xdr:rowOff>161939</xdr:rowOff>
    </xdr:to>
    <xdr:pic>
      <xdr:nvPicPr>
        <xdr:cNvPr id="12" name="Picture 11">
          <a:hlinkClick xmlns:r="http://schemas.openxmlformats.org/officeDocument/2006/relationships" r:id="rId5"/>
          <a:extLst>
            <a:ext uri="{FF2B5EF4-FFF2-40B4-BE49-F238E27FC236}">
              <a16:creationId xmlns:a16="http://schemas.microsoft.com/office/drawing/2014/main" id="{4A9C62A6-3D7B-4731-AAFB-011BA62AB70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197578" y="2752725"/>
          <a:ext cx="1291585" cy="1019189"/>
        </a:xfrm>
        <a:prstGeom prst="rect">
          <a:avLst/>
        </a:prstGeom>
      </xdr:spPr>
    </xdr:pic>
    <xdr:clientData/>
  </xdr:twoCellAnchor>
  <xdr:twoCellAnchor editAs="oneCell">
    <xdr:from>
      <xdr:col>14</xdr:col>
      <xdr:colOff>152818</xdr:colOff>
      <xdr:row>12</xdr:row>
      <xdr:rowOff>95250</xdr:rowOff>
    </xdr:from>
    <xdr:to>
      <xdr:col>16</xdr:col>
      <xdr:colOff>228338</xdr:colOff>
      <xdr:row>17</xdr:row>
      <xdr:rowOff>165569</xdr:rowOff>
    </xdr:to>
    <xdr:pic>
      <xdr:nvPicPr>
        <xdr:cNvPr id="13" name="Picture 12">
          <a:hlinkClick xmlns:r="http://schemas.openxmlformats.org/officeDocument/2006/relationships" r:id="rId7"/>
          <a:extLst>
            <a:ext uri="{FF2B5EF4-FFF2-40B4-BE49-F238E27FC236}">
              <a16:creationId xmlns:a16="http://schemas.microsoft.com/office/drawing/2014/main" id="{4D499E9D-14E9-4A44-9642-E04BC704D61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601868" y="2752725"/>
          <a:ext cx="1294720" cy="1022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56\OneDrive%20-%20Ricardo%20Plc\NE%20NN\Copy%20of%20Herefordshire%20Council%20Phosphate%20Budget%20Calculator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Stage 1"/>
      <sheetName val="Stage 2"/>
      <sheetName val="Stage 3"/>
      <sheetName val="Stage 4"/>
      <sheetName val="WwTW look up"/>
      <sheetName val="Stage 2 and 3 lookups"/>
      <sheetName val="WwTW Catchment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mapapps2.bgs.ac.uk/ukso/home.html?layers=NVZEng" TargetMode="External"/><Relationship Id="rId2" Type="http://schemas.openxmlformats.org/officeDocument/2006/relationships/hyperlink" Target="http://www.landis.org.uk/soilscapes/" TargetMode="External"/><Relationship Id="rId1" Type="http://schemas.openxmlformats.org/officeDocument/2006/relationships/hyperlink" Target="http://environment.data.gov.uk/catchment-planning/" TargetMode="External"/><Relationship Id="rId6" Type="http://schemas.openxmlformats.org/officeDocument/2006/relationships/drawing" Target="../drawings/drawing4.xml"/><Relationship Id="rId5" Type="http://schemas.openxmlformats.org/officeDocument/2006/relationships/printerSettings" Target="../printerSettings/printerSettings3.bin"/><Relationship Id="rId4" Type="http://schemas.openxmlformats.org/officeDocument/2006/relationships/hyperlink" Target="https://nrfa.ceh.ac.uk/data/station/spatial/2500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288EF-98C6-448F-AC74-23005D297FD1}">
  <dimension ref="M5:Y12"/>
  <sheetViews>
    <sheetView showGridLines="0" showRowColHeaders="0" tabSelected="1" zoomScaleNormal="100" workbookViewId="0"/>
  </sheetViews>
  <sheetFormatPr defaultColWidth="5.7109375" defaultRowHeight="28.5" customHeight="1" x14ac:dyDescent="0.25"/>
  <cols>
    <col min="1" max="12" width="5.7109375" style="2"/>
    <col min="13" max="13" width="30.28515625" style="2" bestFit="1" customWidth="1"/>
    <col min="14" max="14" width="5.7109375" style="2"/>
    <col min="15" max="15" width="4.5703125" style="2" customWidth="1"/>
    <col min="16" max="20" width="5.7109375" style="2"/>
    <col min="21" max="21" width="5.7109375" style="2" customWidth="1"/>
    <col min="22" max="16384" width="5.7109375" style="2"/>
  </cols>
  <sheetData>
    <row r="5" spans="13:25" ht="28.5" customHeight="1" x14ac:dyDescent="0.25">
      <c r="Y5"/>
    </row>
    <row r="11" spans="13:25" ht="18" customHeight="1" x14ac:dyDescent="0.25"/>
    <row r="12" spans="13:25" ht="67.5" x14ac:dyDescent="0.25">
      <c r="M12" s="196" t="s">
        <v>0</v>
      </c>
    </row>
  </sheetData>
  <sheetProtection algorithmName="SHA-512" hashValue="SqfAR53OaoiWc1ZPZFbQ60B5dfpxdG8xqpVWBg6bx8NtgKPdUD2sumVk0gIqLNVFXdRicpckcJw+zVH1qT/FAg==" saltValue="7VfvaKeqoxKaXmHzOjksjg==" spinCount="100000" sheet="1" objects="1" scenarios="1" selectLockedCells="1" selectUn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546A1-C6EE-4AA8-8A3A-C1EBF31A9FD9}">
  <dimension ref="B6:K33"/>
  <sheetViews>
    <sheetView topLeftCell="A10" workbookViewId="0">
      <selection activeCell="C16" sqref="C16"/>
    </sheetView>
  </sheetViews>
  <sheetFormatPr defaultColWidth="9.140625" defaultRowHeight="15" x14ac:dyDescent="0.25"/>
  <cols>
    <col min="1" max="1" width="9.140625" style="1"/>
    <col min="2" max="2" width="27.85546875" style="1" customWidth="1"/>
    <col min="3" max="3" width="26.85546875" style="1" customWidth="1"/>
    <col min="4" max="4" width="9.140625" style="1"/>
    <col min="5" max="5" width="15" style="1" customWidth="1"/>
    <col min="6" max="6" width="12.5703125" style="1" customWidth="1"/>
    <col min="7" max="9" width="9.140625" style="1"/>
    <col min="10" max="10" width="7.140625" style="1" customWidth="1"/>
    <col min="11" max="16384" width="9.140625" style="1"/>
  </cols>
  <sheetData>
    <row r="6" spans="2:11" ht="17.25" x14ac:dyDescent="0.25">
      <c r="K6" s="6"/>
    </row>
    <row r="7" spans="2:11" ht="18" customHeight="1" x14ac:dyDescent="0.35">
      <c r="F7" s="4"/>
      <c r="G7" s="5"/>
      <c r="H7" s="5"/>
      <c r="I7" s="4"/>
      <c r="K7" s="7"/>
    </row>
    <row r="8" spans="2:11" ht="12" customHeight="1" x14ac:dyDescent="0.35">
      <c r="F8" s="3"/>
      <c r="G8" s="3"/>
      <c r="H8" s="3"/>
      <c r="I8" s="9"/>
      <c r="K8" s="7"/>
    </row>
    <row r="9" spans="2:11" ht="18" thickBot="1" x14ac:dyDescent="0.4">
      <c r="B9" s="14" t="s">
        <v>120</v>
      </c>
      <c r="D9" s="22"/>
      <c r="E9" s="271" t="s">
        <v>130</v>
      </c>
      <c r="G9" s="3"/>
      <c r="H9" s="3"/>
      <c r="I9" s="9"/>
      <c r="K9" s="7"/>
    </row>
    <row r="10" spans="2:11" ht="21" customHeight="1" thickTop="1" thickBot="1" x14ac:dyDescent="0.4">
      <c r="B10" s="15" t="s">
        <v>121</v>
      </c>
      <c r="D10" s="24"/>
      <c r="E10" s="271"/>
      <c r="G10" s="3"/>
      <c r="H10" s="3" t="s">
        <v>131</v>
      </c>
      <c r="I10" s="9"/>
      <c r="J10" s="6"/>
      <c r="K10" s="8"/>
    </row>
    <row r="11" spans="2:11" ht="18.75" thickTop="1" thickBot="1" x14ac:dyDescent="0.3">
      <c r="B11" s="16" t="s">
        <v>122</v>
      </c>
      <c r="D11" s="25"/>
      <c r="E11" s="271"/>
      <c r="G11" s="7"/>
      <c r="H11" s="7" t="e">
        <f>IF(C33&lt;0,"Well done, you're in the clear…,""")</f>
        <v>#VALUE!</v>
      </c>
      <c r="I11" s="7"/>
      <c r="J11" s="7"/>
      <c r="K11" s="8"/>
    </row>
    <row r="12" spans="2:11" ht="29.25" customHeight="1" thickTop="1" x14ac:dyDescent="0.25">
      <c r="B12" s="17" t="s">
        <v>123</v>
      </c>
      <c r="D12" s="26"/>
      <c r="E12" s="271"/>
      <c r="G12" s="8"/>
      <c r="H12" s="8" t="s">
        <v>132</v>
      </c>
      <c r="I12" s="8"/>
      <c r="J12" s="8"/>
    </row>
    <row r="13" spans="2:11" ht="11.25" customHeight="1" x14ac:dyDescent="0.25">
      <c r="B13" s="22"/>
      <c r="C13" s="22"/>
      <c r="D13" s="22"/>
      <c r="E13" s="22"/>
      <c r="F13" s="52"/>
    </row>
    <row r="14" spans="2:11" x14ac:dyDescent="0.25">
      <c r="B14" s="22"/>
      <c r="C14" s="22"/>
      <c r="D14" s="22"/>
      <c r="E14" s="22"/>
      <c r="F14" s="52"/>
    </row>
    <row r="15" spans="2:11" ht="15.75" thickBot="1" x14ac:dyDescent="0.3">
      <c r="B15" s="14" t="s">
        <v>124</v>
      </c>
      <c r="C15" s="49" t="str">
        <f>'Stage 1'!D34</f>
        <v/>
      </c>
      <c r="D15" s="22"/>
      <c r="E15" s="271" t="s">
        <v>133</v>
      </c>
    </row>
    <row r="16" spans="2:11" ht="16.5" thickTop="1" thickBot="1" x14ac:dyDescent="0.3">
      <c r="B16" s="15" t="s">
        <v>125</v>
      </c>
      <c r="C16" s="23">
        <f>'Stage 3'!E27-'Stage 2'!E32</f>
        <v>0</v>
      </c>
      <c r="D16" s="22"/>
      <c r="E16" s="271"/>
    </row>
    <row r="17" spans="2:6" ht="16.5" thickTop="1" thickBot="1" x14ac:dyDescent="0.3">
      <c r="B17" s="16" t="s">
        <v>126</v>
      </c>
      <c r="C17" s="50" t="e">
        <f>C15+C16</f>
        <v>#VALUE!</v>
      </c>
      <c r="D17" s="18"/>
      <c r="E17" s="271"/>
    </row>
    <row r="18" spans="2:6" ht="15.75" thickTop="1" x14ac:dyDescent="0.25">
      <c r="B18" s="17" t="s">
        <v>127</v>
      </c>
      <c r="C18" s="51" t="e">
        <f>C17*1.2</f>
        <v>#VALUE!</v>
      </c>
      <c r="D18" s="18"/>
      <c r="E18" s="271"/>
    </row>
    <row r="19" spans="2:6" ht="17.25" x14ac:dyDescent="0.25">
      <c r="B19" s="9"/>
      <c r="C19" s="11"/>
      <c r="D19" s="12"/>
    </row>
    <row r="20" spans="2:6" ht="17.25" x14ac:dyDescent="0.25">
      <c r="B20" s="9"/>
      <c r="C20" s="11"/>
      <c r="D20" s="12"/>
    </row>
    <row r="21" spans="2:6" ht="17.25" x14ac:dyDescent="0.25">
      <c r="B21" s="9"/>
      <c r="C21" s="12"/>
      <c r="D21" s="12"/>
    </row>
    <row r="22" spans="2:6" ht="17.25" x14ac:dyDescent="0.25">
      <c r="B22" s="10"/>
      <c r="C22" s="13"/>
      <c r="D22" s="13"/>
    </row>
    <row r="24" spans="2:6" ht="15.75" thickBot="1" x14ac:dyDescent="0.3">
      <c r="C24" s="49" t="str">
        <f>'Stage 1'!D29</f>
        <v/>
      </c>
      <c r="F24" s="273" t="e">
        <f>C33</f>
        <v>#VALUE!</v>
      </c>
    </row>
    <row r="25" spans="2:6" ht="15.75" thickTop="1" x14ac:dyDescent="0.25">
      <c r="F25" s="273"/>
    </row>
    <row r="26" spans="2:6" x14ac:dyDescent="0.25">
      <c r="F26" s="273"/>
    </row>
    <row r="27" spans="2:6" ht="15.75" thickBot="1" x14ac:dyDescent="0.3">
      <c r="C27" s="23" t="e">
        <f>'Stage 3'!#REF!-'Stage 2'!#REF!</f>
        <v>#REF!</v>
      </c>
      <c r="F27" s="273"/>
    </row>
    <row r="28" spans="2:6" ht="15.75" thickTop="1" x14ac:dyDescent="0.25"/>
    <row r="29" spans="2:6" ht="15.75" thickBot="1" x14ac:dyDescent="0.3">
      <c r="F29" s="273" t="e">
        <f>C18</f>
        <v>#VALUE!</v>
      </c>
    </row>
    <row r="30" spans="2:6" ht="16.5" thickTop="1" thickBot="1" x14ac:dyDescent="0.3">
      <c r="C30" s="50" t="e">
        <f>C24+C27</f>
        <v>#VALUE!</v>
      </c>
      <c r="F30" s="273"/>
    </row>
    <row r="31" spans="2:6" ht="15.75" thickTop="1" x14ac:dyDescent="0.25">
      <c r="F31" s="273"/>
    </row>
    <row r="32" spans="2:6" ht="15.75" thickBot="1" x14ac:dyDescent="0.3">
      <c r="F32" s="273"/>
    </row>
    <row r="33" spans="3:3" ht="15.75" thickTop="1" x14ac:dyDescent="0.25">
      <c r="C33" s="51" t="e">
        <f>C30*1.2</f>
        <v>#VALUE!</v>
      </c>
    </row>
  </sheetData>
  <mergeCells count="4">
    <mergeCell ref="E9:E12"/>
    <mergeCell ref="F24:F27"/>
    <mergeCell ref="E15:E18"/>
    <mergeCell ref="F29:F3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07F3CA5-F800-43D1-83B8-FCADDD9BAC80}">
          <x14:formula1>
            <xm:f>'C:\Users\DS56\OneDrive - Ricardo Plc\NE NN\[Copy of Herefordshire Council Phosphate Budget Calculator_Final.xlsx]Stage 2 and 3 lookups'!#REF!</xm:f>
          </x14:formula1>
          <xm:sqref>I8:I10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A7AF-3E94-4ACD-8BCA-F732777F79B7}">
  <dimension ref="B1:P512"/>
  <sheetViews>
    <sheetView showRowColHeaders="0" topLeftCell="A417" zoomScale="70" zoomScaleNormal="70" workbookViewId="0"/>
  </sheetViews>
  <sheetFormatPr defaultColWidth="9.140625" defaultRowHeight="15" x14ac:dyDescent="0.25"/>
  <cols>
    <col min="1" max="1" width="9.140625" style="127"/>
    <col min="2" max="2" width="4.85546875" style="127" customWidth="1"/>
    <col min="3" max="3" width="44.42578125" style="127" bestFit="1" customWidth="1"/>
    <col min="4" max="4" width="31.28515625" style="127" bestFit="1" customWidth="1"/>
    <col min="5" max="5" width="34" style="127" customWidth="1"/>
    <col min="6" max="6" width="31.5703125" style="127" customWidth="1"/>
    <col min="7" max="7" width="41.85546875" style="127" customWidth="1"/>
    <col min="8" max="8" width="65.28515625" style="127" customWidth="1"/>
    <col min="9" max="9" width="46.5703125" style="127" customWidth="1"/>
    <col min="10" max="10" width="39.85546875" style="127" bestFit="1" customWidth="1"/>
    <col min="11" max="11" width="36.85546875" style="127" customWidth="1"/>
    <col min="12" max="12" width="38.140625" style="127" bestFit="1" customWidth="1"/>
    <col min="13" max="15" width="28" style="127" customWidth="1"/>
    <col min="16" max="16" width="9" style="127" customWidth="1"/>
    <col min="17" max="16384" width="9.140625" style="127"/>
  </cols>
  <sheetData>
    <row r="1" spans="2:16" ht="35.25" customHeight="1" thickBot="1" x14ac:dyDescent="0.3"/>
    <row r="2" spans="2:16" ht="15.75" thickTop="1" x14ac:dyDescent="0.25">
      <c r="B2" s="267" t="s">
        <v>134</v>
      </c>
      <c r="C2" s="268"/>
      <c r="D2" s="268"/>
      <c r="E2" s="268"/>
      <c r="F2" s="268"/>
      <c r="G2" s="268"/>
      <c r="H2" s="268"/>
      <c r="I2" s="268"/>
      <c r="J2" s="268"/>
      <c r="K2" s="268"/>
      <c r="L2" s="268"/>
      <c r="M2" s="268"/>
      <c r="N2" s="268"/>
      <c r="O2" s="268"/>
      <c r="P2" s="269"/>
    </row>
    <row r="3" spans="2:16" x14ac:dyDescent="0.25">
      <c r="B3" s="257"/>
      <c r="C3" s="258"/>
      <c r="D3" s="258"/>
      <c r="E3" s="258"/>
      <c r="F3" s="258"/>
      <c r="G3" s="258"/>
      <c r="H3" s="258"/>
      <c r="I3" s="258"/>
      <c r="J3" s="258"/>
      <c r="K3" s="258"/>
      <c r="L3" s="258"/>
      <c r="M3" s="258"/>
      <c r="N3" s="258"/>
      <c r="O3" s="258"/>
      <c r="P3" s="259"/>
    </row>
    <row r="4" spans="2:16" x14ac:dyDescent="0.25">
      <c r="B4" s="257"/>
      <c r="C4" s="258"/>
      <c r="D4" s="258"/>
      <c r="E4" s="258"/>
      <c r="F4" s="258"/>
      <c r="G4" s="258"/>
      <c r="H4" s="258"/>
      <c r="I4" s="258"/>
      <c r="J4" s="258"/>
      <c r="K4" s="258"/>
      <c r="L4" s="258"/>
      <c r="M4" s="258"/>
      <c r="N4" s="258"/>
      <c r="O4" s="258"/>
      <c r="P4" s="259"/>
    </row>
    <row r="5" spans="2:16" x14ac:dyDescent="0.25">
      <c r="B5" s="122"/>
      <c r="C5" s="22"/>
      <c r="D5" s="22"/>
      <c r="E5" s="22"/>
      <c r="F5" s="22"/>
      <c r="G5" s="22"/>
      <c r="H5" s="22"/>
      <c r="I5" s="1"/>
      <c r="J5" s="22"/>
      <c r="K5" s="22"/>
      <c r="L5" s="22"/>
      <c r="M5" s="22"/>
      <c r="N5" s="22"/>
      <c r="O5" s="22"/>
      <c r="P5" s="124"/>
    </row>
    <row r="6" spans="2:16" x14ac:dyDescent="0.25">
      <c r="B6" s="122"/>
      <c r="C6" s="22" t="s">
        <v>135</v>
      </c>
      <c r="D6" s="1"/>
      <c r="E6" s="22"/>
      <c r="F6" s="22"/>
      <c r="G6" s="22"/>
      <c r="H6" s="22"/>
      <c r="I6" s="1"/>
      <c r="J6" s="22"/>
      <c r="K6" s="22"/>
      <c r="L6" s="22"/>
      <c r="M6" s="22"/>
      <c r="N6" s="22"/>
      <c r="O6" s="22"/>
      <c r="P6" s="124"/>
    </row>
    <row r="7" spans="2:16" ht="30.75" thickBot="1" x14ac:dyDescent="0.3">
      <c r="B7" s="122"/>
      <c r="C7" s="33" t="s">
        <v>136</v>
      </c>
      <c r="D7" s="45" t="s">
        <v>137</v>
      </c>
      <c r="E7" s="45" t="s">
        <v>138</v>
      </c>
      <c r="F7" s="45" t="s">
        <v>139</v>
      </c>
      <c r="G7" s="121" t="s">
        <v>140</v>
      </c>
      <c r="H7" s="27"/>
      <c r="I7" s="171"/>
      <c r="J7" s="27"/>
      <c r="K7" s="27"/>
      <c r="L7" s="27"/>
      <c r="M7" s="27"/>
      <c r="N7" s="27"/>
      <c r="O7" s="27"/>
      <c r="P7" s="124"/>
    </row>
    <row r="8" spans="2:16" ht="15.75" thickTop="1" x14ac:dyDescent="0.25">
      <c r="B8" s="122"/>
      <c r="C8" s="172" t="s">
        <v>141</v>
      </c>
      <c r="D8" s="43"/>
      <c r="E8" s="43">
        <v>27</v>
      </c>
      <c r="F8" s="43"/>
      <c r="G8" s="37">
        <v>27</v>
      </c>
      <c r="H8" s="27"/>
      <c r="I8" s="171"/>
      <c r="J8" s="27"/>
      <c r="K8" s="27"/>
      <c r="L8" s="27"/>
      <c r="M8" s="27"/>
      <c r="N8" s="27"/>
      <c r="O8" s="27"/>
      <c r="P8" s="124"/>
    </row>
    <row r="9" spans="2:16" x14ac:dyDescent="0.25">
      <c r="B9" s="122"/>
      <c r="C9" s="172" t="s">
        <v>142</v>
      </c>
      <c r="D9" s="43"/>
      <c r="E9" s="43">
        <v>27</v>
      </c>
      <c r="F9" s="43"/>
      <c r="G9" s="37">
        <v>27</v>
      </c>
      <c r="H9" s="27"/>
      <c r="I9" s="171"/>
      <c r="J9" s="27"/>
      <c r="K9" s="27"/>
      <c r="L9" s="27"/>
      <c r="M9" s="27"/>
      <c r="N9" s="27"/>
      <c r="O9" s="27"/>
      <c r="P9" s="124"/>
    </row>
    <row r="10" spans="2:16" x14ac:dyDescent="0.25">
      <c r="B10" s="122"/>
      <c r="C10" s="172" t="s">
        <v>143</v>
      </c>
      <c r="D10" s="43"/>
      <c r="E10" s="43">
        <v>27</v>
      </c>
      <c r="F10" s="43"/>
      <c r="G10" s="37">
        <v>27</v>
      </c>
      <c r="H10" s="27"/>
      <c r="I10" s="171"/>
      <c r="J10" s="27"/>
      <c r="K10" s="27"/>
      <c r="L10" s="27"/>
      <c r="M10" s="27"/>
      <c r="N10" s="27"/>
      <c r="O10" s="27"/>
      <c r="P10" s="124"/>
    </row>
    <row r="11" spans="2:16" x14ac:dyDescent="0.25">
      <c r="B11" s="122"/>
      <c r="C11" s="172" t="s">
        <v>144</v>
      </c>
      <c r="D11" s="43"/>
      <c r="E11" s="43">
        <v>27</v>
      </c>
      <c r="F11" s="43"/>
      <c r="G11" s="37">
        <v>27</v>
      </c>
      <c r="H11" s="27"/>
      <c r="I11" s="171"/>
      <c r="J11" s="27"/>
      <c r="K11" s="27"/>
      <c r="L11" s="27"/>
      <c r="M11" s="27"/>
      <c r="N11" s="27"/>
      <c r="O11" s="27"/>
      <c r="P11" s="124"/>
    </row>
    <row r="12" spans="2:16" x14ac:dyDescent="0.25">
      <c r="B12" s="122"/>
      <c r="C12" s="172" t="s">
        <v>145</v>
      </c>
      <c r="D12" s="43"/>
      <c r="E12" s="43">
        <v>27</v>
      </c>
      <c r="F12" s="43"/>
      <c r="G12" s="37">
        <v>27</v>
      </c>
      <c r="H12" s="27"/>
      <c r="I12" s="171"/>
      <c r="J12" s="27"/>
      <c r="K12" s="27"/>
      <c r="L12" s="27"/>
      <c r="M12" s="27"/>
      <c r="N12" s="27"/>
      <c r="O12" s="27"/>
      <c r="P12" s="124"/>
    </row>
    <row r="13" spans="2:16" x14ac:dyDescent="0.25">
      <c r="B13" s="122"/>
      <c r="C13" s="172" t="s">
        <v>146</v>
      </c>
      <c r="D13" s="43"/>
      <c r="E13" s="43">
        <v>27</v>
      </c>
      <c r="F13" s="43"/>
      <c r="G13" s="37">
        <v>27</v>
      </c>
      <c r="H13" s="27"/>
      <c r="I13" s="171"/>
      <c r="J13" s="27"/>
      <c r="K13" s="27"/>
      <c r="L13" s="27"/>
      <c r="M13" s="27"/>
      <c r="N13" s="27"/>
      <c r="O13" s="27"/>
      <c r="P13" s="124"/>
    </row>
    <row r="14" spans="2:16" x14ac:dyDescent="0.25">
      <c r="B14" s="122"/>
      <c r="C14" s="172" t="s">
        <v>147</v>
      </c>
      <c r="D14" s="43"/>
      <c r="E14" s="43">
        <v>27</v>
      </c>
      <c r="F14" s="43"/>
      <c r="G14" s="37">
        <v>27</v>
      </c>
      <c r="H14" s="27"/>
      <c r="I14" s="171"/>
      <c r="J14" s="27"/>
      <c r="K14" s="27"/>
      <c r="L14" s="27"/>
      <c r="M14" s="27"/>
      <c r="N14" s="27"/>
      <c r="O14" s="27"/>
      <c r="P14" s="124"/>
    </row>
    <row r="15" spans="2:16" x14ac:dyDescent="0.25">
      <c r="B15" s="122"/>
      <c r="C15" s="172" t="s">
        <v>148</v>
      </c>
      <c r="D15" s="43"/>
      <c r="E15" s="43">
        <v>27</v>
      </c>
      <c r="F15" s="43"/>
      <c r="G15" s="37">
        <v>27</v>
      </c>
      <c r="H15" s="27"/>
      <c r="I15" s="171"/>
      <c r="J15" s="27"/>
      <c r="K15" s="27"/>
      <c r="L15" s="27"/>
      <c r="M15" s="27"/>
      <c r="N15" s="27"/>
      <c r="O15" s="27"/>
      <c r="P15" s="124"/>
    </row>
    <row r="16" spans="2:16" x14ac:dyDescent="0.25">
      <c r="B16" s="122"/>
      <c r="C16" s="172" t="s">
        <v>149</v>
      </c>
      <c r="D16" s="43"/>
      <c r="E16" s="43">
        <v>27</v>
      </c>
      <c r="F16" s="43"/>
      <c r="G16" s="37">
        <v>27</v>
      </c>
      <c r="H16" s="27"/>
      <c r="I16" s="171"/>
      <c r="J16" s="27"/>
      <c r="K16" s="27"/>
      <c r="L16" s="27"/>
      <c r="M16" s="27"/>
      <c r="N16" s="27"/>
      <c r="O16" s="27"/>
      <c r="P16" s="124"/>
    </row>
    <row r="17" spans="2:16" x14ac:dyDescent="0.25">
      <c r="B17" s="122"/>
      <c r="C17" s="172" t="s">
        <v>150</v>
      </c>
      <c r="D17" s="43"/>
      <c r="E17" s="43">
        <v>27</v>
      </c>
      <c r="F17" s="43"/>
      <c r="G17" s="37">
        <v>27</v>
      </c>
      <c r="H17" s="27"/>
      <c r="I17" s="171"/>
      <c r="J17" s="27"/>
      <c r="K17" s="27"/>
      <c r="L17" s="27"/>
      <c r="M17" s="27"/>
      <c r="N17" s="27"/>
      <c r="O17" s="27"/>
      <c r="P17" s="124"/>
    </row>
    <row r="18" spans="2:16" x14ac:dyDescent="0.25">
      <c r="B18" s="122"/>
      <c r="C18" s="172" t="s">
        <v>151</v>
      </c>
      <c r="D18" s="43"/>
      <c r="E18" s="43">
        <v>27</v>
      </c>
      <c r="F18" s="43"/>
      <c r="G18" s="37">
        <v>27</v>
      </c>
      <c r="H18" s="27"/>
      <c r="I18" s="171"/>
      <c r="J18" s="27"/>
      <c r="K18" s="27"/>
      <c r="L18" s="27"/>
      <c r="M18" s="27"/>
      <c r="N18" s="27"/>
      <c r="O18" s="27"/>
      <c r="P18" s="124"/>
    </row>
    <row r="19" spans="2:16" x14ac:dyDescent="0.25">
      <c r="B19" s="122"/>
      <c r="C19" s="172" t="s">
        <v>152</v>
      </c>
      <c r="D19" s="43"/>
      <c r="E19" s="43">
        <v>27</v>
      </c>
      <c r="F19" s="43"/>
      <c r="G19" s="37">
        <v>27</v>
      </c>
      <c r="H19" s="27"/>
      <c r="I19" s="171"/>
      <c r="J19" s="27"/>
      <c r="K19" s="27"/>
      <c r="L19" s="27"/>
      <c r="M19" s="27"/>
      <c r="N19" s="27"/>
      <c r="O19" s="27"/>
      <c r="P19" s="124"/>
    </row>
    <row r="20" spans="2:16" x14ac:dyDescent="0.25">
      <c r="B20" s="122"/>
      <c r="C20" s="172" t="s">
        <v>153</v>
      </c>
      <c r="D20" s="43"/>
      <c r="E20" s="43">
        <v>27</v>
      </c>
      <c r="F20" s="43"/>
      <c r="G20" s="37">
        <v>27</v>
      </c>
      <c r="H20" s="27"/>
      <c r="I20" s="171"/>
      <c r="J20" s="27"/>
      <c r="K20" s="27"/>
      <c r="L20" s="27"/>
      <c r="M20" s="27"/>
      <c r="N20" s="27"/>
      <c r="O20" s="27"/>
      <c r="P20" s="124"/>
    </row>
    <row r="21" spans="2:16" x14ac:dyDescent="0.25">
      <c r="B21" s="122"/>
      <c r="C21" s="172" t="s">
        <v>154</v>
      </c>
      <c r="D21" s="43"/>
      <c r="E21" s="43">
        <v>27</v>
      </c>
      <c r="F21" s="43"/>
      <c r="G21" s="37">
        <v>27</v>
      </c>
      <c r="H21" s="27"/>
      <c r="I21" s="171"/>
      <c r="J21" s="27"/>
      <c r="K21" s="27"/>
      <c r="L21" s="27"/>
      <c r="M21" s="27"/>
      <c r="N21" s="27"/>
      <c r="O21" s="27"/>
      <c r="P21" s="124"/>
    </row>
    <row r="22" spans="2:16" x14ac:dyDescent="0.25">
      <c r="B22" s="122"/>
      <c r="C22" s="172" t="s">
        <v>155</v>
      </c>
      <c r="D22" s="43"/>
      <c r="E22" s="43">
        <v>27</v>
      </c>
      <c r="F22" s="43"/>
      <c r="G22" s="37">
        <v>27</v>
      </c>
      <c r="H22" s="27"/>
      <c r="I22" s="171"/>
      <c r="J22" s="27"/>
      <c r="K22" s="27"/>
      <c r="L22" s="27"/>
      <c r="M22" s="27"/>
      <c r="N22" s="27"/>
      <c r="O22" s="27"/>
      <c r="P22" s="124"/>
    </row>
    <row r="23" spans="2:16" x14ac:dyDescent="0.25">
      <c r="B23" s="122"/>
      <c r="C23" s="172" t="s">
        <v>156</v>
      </c>
      <c r="D23" s="43"/>
      <c r="E23" s="43">
        <v>27</v>
      </c>
      <c r="F23" s="43"/>
      <c r="G23" s="37">
        <v>27</v>
      </c>
      <c r="H23" s="27"/>
      <c r="I23" s="171"/>
      <c r="J23" s="27"/>
      <c r="K23" s="27"/>
      <c r="L23" s="27"/>
      <c r="M23" s="27"/>
      <c r="N23" s="27"/>
      <c r="O23" s="27"/>
      <c r="P23" s="124"/>
    </row>
    <row r="24" spans="2:16" x14ac:dyDescent="0.25">
      <c r="B24" s="122"/>
      <c r="C24" s="172" t="s">
        <v>157</v>
      </c>
      <c r="D24" s="43"/>
      <c r="E24" s="43">
        <v>27</v>
      </c>
      <c r="F24" s="43"/>
      <c r="G24" s="37">
        <v>27</v>
      </c>
      <c r="H24" s="27"/>
      <c r="I24" s="171"/>
      <c r="J24" s="27"/>
      <c r="K24" s="27"/>
      <c r="L24" s="27"/>
      <c r="M24" s="27"/>
      <c r="N24" s="27"/>
      <c r="O24" s="27"/>
      <c r="P24" s="124"/>
    </row>
    <row r="25" spans="2:16" x14ac:dyDescent="0.25">
      <c r="B25" s="122"/>
      <c r="C25" s="172" t="s">
        <v>158</v>
      </c>
      <c r="D25" s="43"/>
      <c r="E25" s="43">
        <v>27</v>
      </c>
      <c r="F25" s="43"/>
      <c r="G25" s="37">
        <v>27</v>
      </c>
      <c r="H25" s="27"/>
      <c r="I25" s="171"/>
      <c r="J25" s="27"/>
      <c r="K25" s="27"/>
      <c r="L25" s="27"/>
      <c r="M25" s="27"/>
      <c r="N25" s="27"/>
      <c r="O25" s="27"/>
      <c r="P25" s="124"/>
    </row>
    <row r="26" spans="2:16" x14ac:dyDescent="0.25">
      <c r="B26" s="122"/>
      <c r="C26" s="172" t="s">
        <v>159</v>
      </c>
      <c r="D26" s="43"/>
      <c r="E26" s="43">
        <v>27</v>
      </c>
      <c r="F26" s="43"/>
      <c r="G26" s="37">
        <v>27</v>
      </c>
      <c r="H26" s="27"/>
      <c r="I26" s="171"/>
      <c r="J26" s="27"/>
      <c r="K26" s="27"/>
      <c r="L26" s="27"/>
      <c r="M26" s="27"/>
      <c r="N26" s="27"/>
      <c r="O26" s="27"/>
      <c r="P26" s="124"/>
    </row>
    <row r="27" spans="2:16" x14ac:dyDescent="0.25">
      <c r="B27" s="122"/>
      <c r="C27" s="172" t="s">
        <v>160</v>
      </c>
      <c r="D27" s="43"/>
      <c r="E27" s="43">
        <v>27</v>
      </c>
      <c r="F27" s="43"/>
      <c r="G27" s="37">
        <v>27</v>
      </c>
      <c r="H27" s="27"/>
      <c r="I27" s="171"/>
      <c r="J27" s="27"/>
      <c r="K27" s="27"/>
      <c r="L27" s="27"/>
      <c r="M27" s="27"/>
      <c r="N27" s="27"/>
      <c r="O27" s="27"/>
      <c r="P27" s="124"/>
    </row>
    <row r="28" spans="2:16" x14ac:dyDescent="0.25">
      <c r="B28" s="122"/>
      <c r="C28" s="172" t="s">
        <v>161</v>
      </c>
      <c r="D28" s="43"/>
      <c r="E28" s="43">
        <v>27</v>
      </c>
      <c r="F28" s="43"/>
      <c r="G28" s="37">
        <v>27</v>
      </c>
      <c r="H28" s="27"/>
      <c r="I28" s="171"/>
      <c r="J28" s="27"/>
      <c r="K28" s="27"/>
      <c r="L28" s="27"/>
      <c r="M28" s="27"/>
      <c r="N28" s="27"/>
      <c r="O28" s="27"/>
      <c r="P28" s="124"/>
    </row>
    <row r="29" spans="2:16" x14ac:dyDescent="0.25">
      <c r="B29" s="122"/>
      <c r="C29" s="172" t="s">
        <v>162</v>
      </c>
      <c r="D29" s="43"/>
      <c r="E29" s="43">
        <v>27</v>
      </c>
      <c r="F29" s="43"/>
      <c r="G29" s="37">
        <v>27</v>
      </c>
      <c r="H29" s="27"/>
      <c r="I29" s="171"/>
      <c r="J29" s="27"/>
      <c r="K29" s="27"/>
      <c r="L29" s="27"/>
      <c r="M29" s="27"/>
      <c r="N29" s="27"/>
      <c r="O29" s="27"/>
      <c r="P29" s="124"/>
    </row>
    <row r="30" spans="2:16" x14ac:dyDescent="0.25">
      <c r="B30" s="122"/>
      <c r="C30" s="172" t="s">
        <v>163</v>
      </c>
      <c r="D30" s="43"/>
      <c r="E30" s="43">
        <v>27</v>
      </c>
      <c r="F30" s="43"/>
      <c r="G30" s="37">
        <v>27</v>
      </c>
      <c r="H30" s="27"/>
      <c r="I30" s="171"/>
      <c r="J30" s="27"/>
      <c r="K30" s="27"/>
      <c r="L30" s="27"/>
      <c r="M30" s="27"/>
      <c r="N30" s="27"/>
      <c r="O30" s="27"/>
      <c r="P30" s="124"/>
    </row>
    <row r="31" spans="2:16" x14ac:dyDescent="0.25">
      <c r="B31" s="122"/>
      <c r="C31" s="172" t="s">
        <v>164</v>
      </c>
      <c r="D31" s="43"/>
      <c r="E31" s="43">
        <v>27</v>
      </c>
      <c r="F31" s="43"/>
      <c r="G31" s="37">
        <v>27</v>
      </c>
      <c r="H31" s="27"/>
      <c r="I31" s="171"/>
      <c r="J31" s="27"/>
      <c r="K31" s="27"/>
      <c r="L31" s="27"/>
      <c r="M31" s="27"/>
      <c r="N31" s="27"/>
      <c r="O31" s="27"/>
      <c r="P31" s="124"/>
    </row>
    <row r="32" spans="2:16" x14ac:dyDescent="0.25">
      <c r="B32" s="122"/>
      <c r="C32" s="172" t="s">
        <v>165</v>
      </c>
      <c r="D32" s="43"/>
      <c r="E32" s="43">
        <v>27</v>
      </c>
      <c r="F32" s="43"/>
      <c r="G32" s="37">
        <v>27</v>
      </c>
      <c r="H32" s="27"/>
      <c r="I32" s="171"/>
      <c r="J32" s="27"/>
      <c r="K32" s="27"/>
      <c r="L32" s="27"/>
      <c r="M32" s="27"/>
      <c r="N32" s="27"/>
      <c r="O32" s="27"/>
      <c r="P32" s="124"/>
    </row>
    <row r="33" spans="2:16" x14ac:dyDescent="0.25">
      <c r="B33" s="122"/>
      <c r="C33" s="172" t="s">
        <v>166</v>
      </c>
      <c r="D33" s="43"/>
      <c r="E33" s="43">
        <v>27</v>
      </c>
      <c r="F33" s="43"/>
      <c r="G33" s="37">
        <v>27</v>
      </c>
      <c r="H33" s="27"/>
      <c r="I33" s="171"/>
      <c r="J33" s="27"/>
      <c r="K33" s="27"/>
      <c r="L33" s="27"/>
      <c r="M33" s="27"/>
      <c r="N33" s="27"/>
      <c r="O33" s="27"/>
      <c r="P33" s="124"/>
    </row>
    <row r="34" spans="2:16" x14ac:dyDescent="0.25">
      <c r="B34" s="122"/>
      <c r="C34" s="172" t="s">
        <v>167</v>
      </c>
      <c r="D34" s="43"/>
      <c r="E34" s="43">
        <v>27</v>
      </c>
      <c r="F34" s="43"/>
      <c r="G34" s="37">
        <v>27</v>
      </c>
      <c r="H34" s="27"/>
      <c r="I34" s="171"/>
      <c r="J34" s="27"/>
      <c r="K34" s="27"/>
      <c r="L34" s="27"/>
      <c r="M34" s="27"/>
      <c r="N34" s="27"/>
      <c r="O34" s="27"/>
      <c r="P34" s="124"/>
    </row>
    <row r="35" spans="2:16" x14ac:dyDescent="0.25">
      <c r="B35" s="122"/>
      <c r="C35" s="172" t="s">
        <v>168</v>
      </c>
      <c r="D35" s="43"/>
      <c r="E35" s="43">
        <v>27</v>
      </c>
      <c r="F35" s="43"/>
      <c r="G35" s="37">
        <v>27</v>
      </c>
      <c r="H35" s="27"/>
      <c r="I35" s="171"/>
      <c r="J35" s="27"/>
      <c r="K35" s="27"/>
      <c r="L35" s="27"/>
      <c r="M35" s="27"/>
      <c r="N35" s="27"/>
      <c r="O35" s="27"/>
      <c r="P35" s="124"/>
    </row>
    <row r="36" spans="2:16" x14ac:dyDescent="0.25">
      <c r="B36" s="122"/>
      <c r="C36" s="172" t="s">
        <v>169</v>
      </c>
      <c r="D36" s="43"/>
      <c r="E36" s="43">
        <v>27</v>
      </c>
      <c r="F36" s="43"/>
      <c r="G36" s="37">
        <v>27</v>
      </c>
      <c r="H36" s="27"/>
      <c r="I36" s="171"/>
      <c r="J36" s="27"/>
      <c r="K36" s="27"/>
      <c r="L36" s="27"/>
      <c r="M36" s="27"/>
      <c r="N36" s="27"/>
      <c r="O36" s="27"/>
      <c r="P36" s="124"/>
    </row>
    <row r="37" spans="2:16" x14ac:dyDescent="0.25">
      <c r="B37" s="122"/>
      <c r="C37" s="172" t="s">
        <v>170</v>
      </c>
      <c r="D37" s="43"/>
      <c r="E37" s="43">
        <v>27</v>
      </c>
      <c r="F37" s="43"/>
      <c r="G37" s="37">
        <v>27</v>
      </c>
      <c r="H37" s="27"/>
      <c r="I37" s="171"/>
      <c r="J37" s="27"/>
      <c r="K37" s="27"/>
      <c r="L37" s="27"/>
      <c r="M37" s="27"/>
      <c r="N37" s="27"/>
      <c r="O37" s="27"/>
      <c r="P37" s="124"/>
    </row>
    <row r="38" spans="2:16" x14ac:dyDescent="0.25">
      <c r="B38" s="122"/>
      <c r="C38" s="172" t="s">
        <v>171</v>
      </c>
      <c r="D38" s="43"/>
      <c r="E38" s="43">
        <v>27</v>
      </c>
      <c r="F38" s="43"/>
      <c r="G38" s="37">
        <v>27</v>
      </c>
      <c r="H38" s="27"/>
      <c r="I38" s="171"/>
      <c r="J38" s="27"/>
      <c r="K38" s="27"/>
      <c r="L38" s="27"/>
      <c r="M38" s="27"/>
      <c r="N38" s="27"/>
      <c r="O38" s="27"/>
      <c r="P38" s="124"/>
    </row>
    <row r="39" spans="2:16" x14ac:dyDescent="0.25">
      <c r="B39" s="122"/>
      <c r="C39" s="172" t="s">
        <v>172</v>
      </c>
      <c r="D39" s="43"/>
      <c r="E39" s="43">
        <v>27</v>
      </c>
      <c r="F39" s="43"/>
      <c r="G39" s="37">
        <v>27</v>
      </c>
      <c r="H39" s="27"/>
      <c r="I39" s="171"/>
      <c r="J39" s="27"/>
      <c r="K39" s="27"/>
      <c r="L39" s="27"/>
      <c r="M39" s="27"/>
      <c r="N39" s="27"/>
      <c r="O39" s="27"/>
      <c r="P39" s="124"/>
    </row>
    <row r="40" spans="2:16" x14ac:dyDescent="0.25">
      <c r="B40" s="122"/>
      <c r="C40" s="172" t="s">
        <v>173</v>
      </c>
      <c r="D40" s="43"/>
      <c r="E40" s="43">
        <v>27</v>
      </c>
      <c r="F40" s="43"/>
      <c r="G40" s="37">
        <v>27</v>
      </c>
      <c r="H40" s="27"/>
      <c r="I40" s="171"/>
      <c r="J40" s="27"/>
      <c r="K40" s="27"/>
      <c r="L40" s="27"/>
      <c r="M40" s="27"/>
      <c r="N40" s="27"/>
      <c r="O40" s="27"/>
      <c r="P40" s="124"/>
    </row>
    <row r="41" spans="2:16" x14ac:dyDescent="0.25">
      <c r="B41" s="122"/>
      <c r="C41" s="172" t="s">
        <v>174</v>
      </c>
      <c r="D41" s="43"/>
      <c r="E41" s="43">
        <v>27</v>
      </c>
      <c r="F41" s="43"/>
      <c r="G41" s="37">
        <v>27</v>
      </c>
      <c r="H41" s="27"/>
      <c r="I41" s="171"/>
      <c r="J41" s="27"/>
      <c r="K41" s="27"/>
      <c r="L41" s="27"/>
      <c r="M41" s="27"/>
      <c r="N41" s="27"/>
      <c r="O41" s="27"/>
      <c r="P41" s="124"/>
    </row>
    <row r="42" spans="2:16" x14ac:dyDescent="0.25">
      <c r="B42" s="122"/>
      <c r="C42" s="172" t="s">
        <v>175</v>
      </c>
      <c r="D42" s="43"/>
      <c r="E42" s="43">
        <v>27</v>
      </c>
      <c r="F42" s="43"/>
      <c r="G42" s="37">
        <v>27</v>
      </c>
      <c r="H42" s="27"/>
      <c r="I42" s="171"/>
      <c r="J42" s="27"/>
      <c r="K42" s="27"/>
      <c r="L42" s="27"/>
      <c r="M42" s="27"/>
      <c r="N42" s="27"/>
      <c r="O42" s="27"/>
      <c r="P42" s="124"/>
    </row>
    <row r="43" spans="2:16" x14ac:dyDescent="0.25">
      <c r="B43" s="122"/>
      <c r="C43" s="172" t="s">
        <v>176</v>
      </c>
      <c r="D43" s="43"/>
      <c r="E43" s="43">
        <v>27</v>
      </c>
      <c r="F43" s="43"/>
      <c r="G43" s="37">
        <v>27</v>
      </c>
      <c r="H43" s="27"/>
      <c r="I43" s="171"/>
      <c r="J43" s="27"/>
      <c r="K43" s="27"/>
      <c r="L43" s="27"/>
      <c r="M43" s="27"/>
      <c r="N43" s="27"/>
      <c r="O43" s="27"/>
      <c r="P43" s="124"/>
    </row>
    <row r="44" spans="2:16" x14ac:dyDescent="0.25">
      <c r="B44" s="122"/>
      <c r="C44" s="172" t="s">
        <v>177</v>
      </c>
      <c r="D44" s="43"/>
      <c r="E44" s="43">
        <v>27</v>
      </c>
      <c r="F44" s="43"/>
      <c r="G44" s="37">
        <v>27</v>
      </c>
      <c r="H44" s="27"/>
      <c r="I44" s="171"/>
      <c r="J44" s="27"/>
      <c r="K44" s="27"/>
      <c r="L44" s="27"/>
      <c r="M44" s="27"/>
      <c r="N44" s="27"/>
      <c r="O44" s="27"/>
      <c r="P44" s="124"/>
    </row>
    <row r="45" spans="2:16" x14ac:dyDescent="0.25">
      <c r="B45" s="122"/>
      <c r="C45" s="172" t="s">
        <v>178</v>
      </c>
      <c r="D45" s="43"/>
      <c r="E45" s="43">
        <v>27</v>
      </c>
      <c r="F45" s="43"/>
      <c r="G45" s="37">
        <v>27</v>
      </c>
      <c r="H45" s="27"/>
      <c r="I45" s="171"/>
      <c r="J45" s="27"/>
      <c r="K45" s="27"/>
      <c r="L45" s="27"/>
      <c r="M45" s="27"/>
      <c r="N45" s="27"/>
      <c r="O45" s="27"/>
      <c r="P45" s="124"/>
    </row>
    <row r="46" spans="2:16" x14ac:dyDescent="0.25">
      <c r="B46" s="122"/>
      <c r="C46" s="172" t="s">
        <v>179</v>
      </c>
      <c r="D46" s="43"/>
      <c r="E46" s="43">
        <v>27</v>
      </c>
      <c r="F46" s="43"/>
      <c r="G46" s="37">
        <v>27</v>
      </c>
      <c r="H46" s="27"/>
      <c r="I46" s="171"/>
      <c r="J46" s="27"/>
      <c r="K46" s="27"/>
      <c r="L46" s="27"/>
      <c r="M46" s="27"/>
      <c r="N46" s="27"/>
      <c r="O46" s="27"/>
      <c r="P46" s="124"/>
    </row>
    <row r="47" spans="2:16" x14ac:dyDescent="0.25">
      <c r="B47" s="122"/>
      <c r="C47" s="172" t="s">
        <v>180</v>
      </c>
      <c r="D47" s="43"/>
      <c r="E47" s="43">
        <v>27</v>
      </c>
      <c r="F47" s="43"/>
      <c r="G47" s="37">
        <v>27</v>
      </c>
      <c r="H47" s="27"/>
      <c r="I47" s="171"/>
      <c r="J47" s="27"/>
      <c r="K47" s="27"/>
      <c r="L47" s="27"/>
      <c r="M47" s="27"/>
      <c r="N47" s="27"/>
      <c r="O47" s="27"/>
      <c r="P47" s="124"/>
    </row>
    <row r="48" spans="2:16" x14ac:dyDescent="0.25">
      <c r="B48" s="122"/>
      <c r="C48" s="172" t="s">
        <v>181</v>
      </c>
      <c r="D48" s="43"/>
      <c r="E48" s="43">
        <v>27</v>
      </c>
      <c r="F48" s="43"/>
      <c r="G48" s="37">
        <v>27</v>
      </c>
      <c r="H48" s="27"/>
      <c r="I48" s="171"/>
      <c r="J48" s="27"/>
      <c r="K48" s="27"/>
      <c r="L48" s="27"/>
      <c r="M48" s="27"/>
      <c r="N48" s="27"/>
      <c r="O48" s="27"/>
      <c r="P48" s="124"/>
    </row>
    <row r="49" spans="2:16" x14ac:dyDescent="0.25">
      <c r="B49" s="122"/>
      <c r="C49" s="172" t="s">
        <v>182</v>
      </c>
      <c r="D49" s="43"/>
      <c r="E49" s="43">
        <v>27</v>
      </c>
      <c r="F49" s="43"/>
      <c r="G49" s="37">
        <v>27</v>
      </c>
      <c r="H49" s="27"/>
      <c r="I49" s="171"/>
      <c r="J49" s="27"/>
      <c r="K49" s="27"/>
      <c r="L49" s="27"/>
      <c r="M49" s="27"/>
      <c r="N49" s="27"/>
      <c r="O49" s="27"/>
      <c r="P49" s="124"/>
    </row>
    <row r="50" spans="2:16" x14ac:dyDescent="0.25">
      <c r="B50" s="122"/>
      <c r="C50" s="172" t="s">
        <v>183</v>
      </c>
      <c r="D50" s="43"/>
      <c r="E50" s="43">
        <v>27</v>
      </c>
      <c r="F50" s="43"/>
      <c r="G50" s="37">
        <v>27</v>
      </c>
      <c r="H50" s="27"/>
      <c r="I50" s="171"/>
      <c r="J50" s="27"/>
      <c r="K50" s="27"/>
      <c r="L50" s="27"/>
      <c r="M50" s="27"/>
      <c r="N50" s="27"/>
      <c r="O50" s="27"/>
      <c r="P50" s="124"/>
    </row>
    <row r="51" spans="2:16" x14ac:dyDescent="0.25">
      <c r="B51" s="122"/>
      <c r="C51" s="172" t="s">
        <v>184</v>
      </c>
      <c r="D51" s="43"/>
      <c r="E51" s="43">
        <v>27</v>
      </c>
      <c r="F51" s="43"/>
      <c r="G51" s="37">
        <v>27</v>
      </c>
      <c r="H51" s="27"/>
      <c r="I51" s="171"/>
      <c r="J51" s="27"/>
      <c r="K51" s="27"/>
      <c r="L51" s="27"/>
      <c r="M51" s="27"/>
      <c r="N51" s="27"/>
      <c r="O51" s="27"/>
      <c r="P51" s="124"/>
    </row>
    <row r="52" spans="2:16" x14ac:dyDescent="0.25">
      <c r="B52" s="122"/>
      <c r="C52" s="172" t="s">
        <v>185</v>
      </c>
      <c r="D52" s="43"/>
      <c r="E52" s="43">
        <v>27</v>
      </c>
      <c r="F52" s="43"/>
      <c r="G52" s="37">
        <v>27</v>
      </c>
      <c r="H52" s="27"/>
      <c r="I52" s="171"/>
      <c r="J52" s="27"/>
      <c r="K52" s="27"/>
      <c r="L52" s="27"/>
      <c r="M52" s="27"/>
      <c r="N52" s="27"/>
      <c r="O52" s="27"/>
      <c r="P52" s="124"/>
    </row>
    <row r="53" spans="2:16" x14ac:dyDescent="0.25">
      <c r="B53" s="122"/>
      <c r="C53" s="172" t="s">
        <v>186</v>
      </c>
      <c r="D53" s="43"/>
      <c r="E53" s="43">
        <v>27</v>
      </c>
      <c r="F53" s="43"/>
      <c r="G53" s="37">
        <v>27</v>
      </c>
      <c r="H53" s="27"/>
      <c r="I53" s="171"/>
      <c r="J53" s="27"/>
      <c r="K53" s="27"/>
      <c r="L53" s="27"/>
      <c r="M53" s="27"/>
      <c r="N53" s="27"/>
      <c r="O53" s="27"/>
      <c r="P53" s="124"/>
    </row>
    <row r="54" spans="2:16" x14ac:dyDescent="0.25">
      <c r="B54" s="122"/>
      <c r="C54" s="172" t="s">
        <v>187</v>
      </c>
      <c r="D54" s="43"/>
      <c r="E54" s="43">
        <v>27</v>
      </c>
      <c r="F54" s="43"/>
      <c r="G54" s="37">
        <v>27</v>
      </c>
      <c r="H54" s="27"/>
      <c r="I54" s="171"/>
      <c r="J54" s="27"/>
      <c r="K54" s="27"/>
      <c r="L54" s="27"/>
      <c r="M54" s="27"/>
      <c r="N54" s="27"/>
      <c r="O54" s="27"/>
      <c r="P54" s="124"/>
    </row>
    <row r="55" spans="2:16" x14ac:dyDescent="0.25">
      <c r="B55" s="122"/>
      <c r="C55" s="172" t="s">
        <v>188</v>
      </c>
      <c r="D55" s="43"/>
      <c r="E55" s="43">
        <v>27</v>
      </c>
      <c r="F55" s="43"/>
      <c r="G55" s="37">
        <v>27</v>
      </c>
      <c r="H55" s="27"/>
      <c r="I55" s="171"/>
      <c r="J55" s="27"/>
      <c r="K55" s="27"/>
      <c r="L55" s="27"/>
      <c r="M55" s="27"/>
      <c r="N55" s="27"/>
      <c r="O55" s="27"/>
      <c r="P55" s="124"/>
    </row>
    <row r="56" spans="2:16" x14ac:dyDescent="0.25">
      <c r="B56" s="122"/>
      <c r="C56" s="172" t="s">
        <v>189</v>
      </c>
      <c r="D56" s="43"/>
      <c r="E56" s="43">
        <v>27</v>
      </c>
      <c r="F56" s="43"/>
      <c r="G56" s="37">
        <v>27</v>
      </c>
      <c r="H56" s="27"/>
      <c r="I56" s="171"/>
      <c r="J56" s="27"/>
      <c r="K56" s="27"/>
      <c r="L56" s="27"/>
      <c r="M56" s="27"/>
      <c r="N56" s="27"/>
      <c r="O56" s="27"/>
      <c r="P56" s="124"/>
    </row>
    <row r="57" spans="2:16" x14ac:dyDescent="0.25">
      <c r="B57" s="122"/>
      <c r="C57" s="172" t="s">
        <v>190</v>
      </c>
      <c r="D57" s="43"/>
      <c r="E57" s="43">
        <v>27</v>
      </c>
      <c r="F57" s="43"/>
      <c r="G57" s="37">
        <v>27</v>
      </c>
      <c r="H57" s="27"/>
      <c r="I57" s="171"/>
      <c r="J57" s="27"/>
      <c r="K57" s="27"/>
      <c r="L57" s="27"/>
      <c r="M57" s="27"/>
      <c r="N57" s="27"/>
      <c r="O57" s="27"/>
      <c r="P57" s="124"/>
    </row>
    <row r="58" spans="2:16" x14ac:dyDescent="0.25">
      <c r="B58" s="122"/>
      <c r="C58" s="172" t="s">
        <v>191</v>
      </c>
      <c r="D58" s="43"/>
      <c r="E58" s="43">
        <v>27</v>
      </c>
      <c r="F58" s="43"/>
      <c r="G58" s="37">
        <v>27</v>
      </c>
      <c r="H58" s="27"/>
      <c r="I58" s="171"/>
      <c r="J58" s="27"/>
      <c r="K58" s="27"/>
      <c r="L58" s="27"/>
      <c r="M58" s="27"/>
      <c r="N58" s="27"/>
      <c r="O58" s="27"/>
      <c r="P58" s="124"/>
    </row>
    <row r="59" spans="2:16" x14ac:dyDescent="0.25">
      <c r="B59" s="122"/>
      <c r="C59" s="172" t="s">
        <v>192</v>
      </c>
      <c r="D59" s="43"/>
      <c r="E59" s="43">
        <v>27</v>
      </c>
      <c r="F59" s="43"/>
      <c r="G59" s="37">
        <v>27</v>
      </c>
      <c r="H59" s="27"/>
      <c r="I59" s="171"/>
      <c r="J59" s="27"/>
      <c r="K59" s="27"/>
      <c r="L59" s="27"/>
      <c r="M59" s="27"/>
      <c r="N59" s="27"/>
      <c r="O59" s="27"/>
      <c r="P59" s="124"/>
    </row>
    <row r="60" spans="2:16" x14ac:dyDescent="0.25">
      <c r="B60" s="122"/>
      <c r="C60" s="172" t="s">
        <v>193</v>
      </c>
      <c r="D60" s="43"/>
      <c r="E60" s="43">
        <v>27</v>
      </c>
      <c r="F60" s="43"/>
      <c r="G60" s="37">
        <v>27</v>
      </c>
      <c r="H60" s="27"/>
      <c r="I60" s="171"/>
      <c r="J60" s="27"/>
      <c r="K60" s="27"/>
      <c r="L60" s="27"/>
      <c r="M60" s="27"/>
      <c r="N60" s="27"/>
      <c r="O60" s="27"/>
      <c r="P60" s="124"/>
    </row>
    <row r="61" spans="2:16" x14ac:dyDescent="0.25">
      <c r="B61" s="122"/>
      <c r="C61" s="172" t="s">
        <v>194</v>
      </c>
      <c r="D61" s="43"/>
      <c r="E61" s="43">
        <v>27</v>
      </c>
      <c r="F61" s="43"/>
      <c r="G61" s="37">
        <v>27</v>
      </c>
      <c r="H61" s="27"/>
      <c r="I61" s="171"/>
      <c r="J61" s="27"/>
      <c r="K61" s="27"/>
      <c r="L61" s="27"/>
      <c r="M61" s="27"/>
      <c r="N61" s="27"/>
      <c r="O61" s="27"/>
      <c r="P61" s="124"/>
    </row>
    <row r="62" spans="2:16" x14ac:dyDescent="0.25">
      <c r="B62" s="122"/>
      <c r="C62" s="172" t="s">
        <v>195</v>
      </c>
      <c r="D62" s="43"/>
      <c r="E62" s="43">
        <v>27</v>
      </c>
      <c r="F62" s="43"/>
      <c r="G62" s="37">
        <v>27</v>
      </c>
      <c r="H62" s="27"/>
      <c r="I62" s="171"/>
      <c r="J62" s="27"/>
      <c r="K62" s="27"/>
      <c r="L62" s="27"/>
      <c r="M62" s="27"/>
      <c r="N62" s="27"/>
      <c r="O62" s="27"/>
      <c r="P62" s="124"/>
    </row>
    <row r="63" spans="2:16" x14ac:dyDescent="0.25">
      <c r="B63" s="122"/>
      <c r="C63" s="172" t="s">
        <v>196</v>
      </c>
      <c r="D63" s="43"/>
      <c r="E63" s="43">
        <v>27</v>
      </c>
      <c r="F63" s="43"/>
      <c r="G63" s="37">
        <v>27</v>
      </c>
      <c r="H63" s="27"/>
      <c r="I63" s="171"/>
      <c r="J63" s="27"/>
      <c r="K63" s="27"/>
      <c r="L63" s="27"/>
      <c r="M63" s="27"/>
      <c r="N63" s="27"/>
      <c r="O63" s="27"/>
      <c r="P63" s="124"/>
    </row>
    <row r="64" spans="2:16" x14ac:dyDescent="0.25">
      <c r="B64" s="122"/>
      <c r="C64" s="172" t="s">
        <v>197</v>
      </c>
      <c r="D64" s="43"/>
      <c r="E64" s="43">
        <v>27</v>
      </c>
      <c r="F64" s="43"/>
      <c r="G64" s="37">
        <v>27</v>
      </c>
      <c r="H64" s="27"/>
      <c r="I64" s="171"/>
      <c r="J64" s="27"/>
      <c r="K64" s="27"/>
      <c r="L64" s="27"/>
      <c r="M64" s="27"/>
      <c r="N64" s="27"/>
      <c r="O64" s="27"/>
      <c r="P64" s="124"/>
    </row>
    <row r="65" spans="2:16" x14ac:dyDescent="0.25">
      <c r="B65" s="122"/>
      <c r="C65" s="172" t="s">
        <v>198</v>
      </c>
      <c r="D65" s="43"/>
      <c r="E65" s="43">
        <v>27</v>
      </c>
      <c r="F65" s="43"/>
      <c r="G65" s="37">
        <v>27</v>
      </c>
      <c r="H65" s="27"/>
      <c r="I65" s="171"/>
      <c r="J65" s="27"/>
      <c r="K65" s="27"/>
      <c r="L65" s="27"/>
      <c r="M65" s="27"/>
      <c r="N65" s="27"/>
      <c r="O65" s="27"/>
      <c r="P65" s="124"/>
    </row>
    <row r="66" spans="2:16" x14ac:dyDescent="0.25">
      <c r="B66" s="122"/>
      <c r="C66" s="172" t="s">
        <v>199</v>
      </c>
      <c r="D66" s="43"/>
      <c r="E66" s="43">
        <v>27</v>
      </c>
      <c r="F66" s="43"/>
      <c r="G66" s="37">
        <v>27</v>
      </c>
      <c r="H66" s="27"/>
      <c r="I66" s="171"/>
      <c r="J66" s="27"/>
      <c r="K66" s="27"/>
      <c r="L66" s="27"/>
      <c r="M66" s="27"/>
      <c r="N66" s="27"/>
      <c r="O66" s="27"/>
      <c r="P66" s="124"/>
    </row>
    <row r="67" spans="2:16" x14ac:dyDescent="0.25">
      <c r="B67" s="122"/>
      <c r="C67" s="172" t="s">
        <v>200</v>
      </c>
      <c r="D67" s="43"/>
      <c r="E67" s="43">
        <v>27</v>
      </c>
      <c r="F67" s="43"/>
      <c r="G67" s="37">
        <v>27</v>
      </c>
      <c r="H67" s="27"/>
      <c r="I67" s="171"/>
      <c r="J67" s="27"/>
      <c r="K67" s="27"/>
      <c r="L67" s="27"/>
      <c r="M67" s="27"/>
      <c r="N67" s="27"/>
      <c r="O67" s="27"/>
      <c r="P67" s="124"/>
    </row>
    <row r="68" spans="2:16" x14ac:dyDescent="0.25">
      <c r="B68" s="122"/>
      <c r="C68" s="172" t="s">
        <v>201</v>
      </c>
      <c r="D68" s="43"/>
      <c r="E68" s="43">
        <v>27</v>
      </c>
      <c r="F68" s="43"/>
      <c r="G68" s="37">
        <v>27</v>
      </c>
      <c r="H68" s="27"/>
      <c r="I68" s="171"/>
      <c r="J68" s="27"/>
      <c r="K68" s="27"/>
      <c r="L68" s="27"/>
      <c r="M68" s="27"/>
      <c r="N68" s="27"/>
      <c r="O68" s="27"/>
      <c r="P68" s="124"/>
    </row>
    <row r="69" spans="2:16" x14ac:dyDescent="0.25">
      <c r="B69" s="122"/>
      <c r="C69" s="172" t="s">
        <v>202</v>
      </c>
      <c r="D69" s="43"/>
      <c r="E69" s="43">
        <v>27</v>
      </c>
      <c r="F69" s="43"/>
      <c r="G69" s="37">
        <v>27</v>
      </c>
      <c r="H69" s="27"/>
      <c r="I69" s="171"/>
      <c r="J69" s="27"/>
      <c r="K69" s="27"/>
      <c r="L69" s="27"/>
      <c r="M69" s="27"/>
      <c r="N69" s="27"/>
      <c r="O69" s="27"/>
      <c r="P69" s="124"/>
    </row>
    <row r="70" spans="2:16" x14ac:dyDescent="0.25">
      <c r="B70" s="122"/>
      <c r="C70" s="172" t="s">
        <v>203</v>
      </c>
      <c r="D70" s="43"/>
      <c r="E70" s="43">
        <v>27</v>
      </c>
      <c r="F70" s="43"/>
      <c r="G70" s="37">
        <v>27</v>
      </c>
      <c r="H70" s="27"/>
      <c r="I70" s="171"/>
      <c r="J70" s="27"/>
      <c r="K70" s="27"/>
      <c r="L70" s="27"/>
      <c r="M70" s="27"/>
      <c r="N70" s="27"/>
      <c r="O70" s="27"/>
      <c r="P70" s="124"/>
    </row>
    <row r="71" spans="2:16" x14ac:dyDescent="0.25">
      <c r="B71" s="122"/>
      <c r="C71" s="172" t="s">
        <v>204</v>
      </c>
      <c r="D71" s="43"/>
      <c r="E71" s="43">
        <v>27</v>
      </c>
      <c r="F71" s="43"/>
      <c r="G71" s="37">
        <v>27</v>
      </c>
      <c r="H71" s="27"/>
      <c r="I71" s="171"/>
      <c r="J71" s="27"/>
      <c r="K71" s="27"/>
      <c r="L71" s="27"/>
      <c r="M71" s="27"/>
      <c r="N71" s="27"/>
      <c r="O71" s="27"/>
      <c r="P71" s="124"/>
    </row>
    <row r="72" spans="2:16" x14ac:dyDescent="0.25">
      <c r="B72" s="122"/>
      <c r="C72" s="172" t="s">
        <v>205</v>
      </c>
      <c r="D72" s="43"/>
      <c r="E72" s="43">
        <v>27</v>
      </c>
      <c r="F72" s="43"/>
      <c r="G72" s="37">
        <v>27</v>
      </c>
      <c r="H72" s="27"/>
      <c r="I72" s="171"/>
      <c r="J72" s="27"/>
      <c r="K72" s="27"/>
      <c r="L72" s="27"/>
      <c r="M72" s="27"/>
      <c r="N72" s="27"/>
      <c r="O72" s="27"/>
      <c r="P72" s="124"/>
    </row>
    <row r="73" spans="2:16" x14ac:dyDescent="0.25">
      <c r="B73" s="122"/>
      <c r="C73" s="172" t="s">
        <v>206</v>
      </c>
      <c r="D73" s="43"/>
      <c r="E73" s="43">
        <v>27</v>
      </c>
      <c r="F73" s="43"/>
      <c r="G73" s="37">
        <v>27</v>
      </c>
      <c r="H73" s="27"/>
      <c r="I73" s="171"/>
      <c r="J73" s="27"/>
      <c r="K73" s="27"/>
      <c r="L73" s="27"/>
      <c r="M73" s="27"/>
      <c r="N73" s="27"/>
      <c r="O73" s="27"/>
      <c r="P73" s="124"/>
    </row>
    <row r="74" spans="2:16" x14ac:dyDescent="0.25">
      <c r="B74" s="122"/>
      <c r="C74" s="172" t="s">
        <v>207</v>
      </c>
      <c r="D74" s="43"/>
      <c r="E74" s="43">
        <v>27</v>
      </c>
      <c r="F74" s="43"/>
      <c r="G74" s="37">
        <v>27</v>
      </c>
      <c r="H74" s="27"/>
      <c r="I74" s="171"/>
      <c r="J74" s="27"/>
      <c r="K74" s="27"/>
      <c r="L74" s="27"/>
      <c r="M74" s="27"/>
      <c r="N74" s="27"/>
      <c r="O74" s="27"/>
      <c r="P74" s="124"/>
    </row>
    <row r="75" spans="2:16" x14ac:dyDescent="0.25">
      <c r="B75" s="122"/>
      <c r="C75" s="172" t="s">
        <v>208</v>
      </c>
      <c r="D75" s="43"/>
      <c r="E75" s="43">
        <v>27</v>
      </c>
      <c r="F75" s="43"/>
      <c r="G75" s="37">
        <v>27</v>
      </c>
      <c r="H75" s="27"/>
      <c r="I75" s="171"/>
      <c r="J75" s="27"/>
      <c r="K75" s="27"/>
      <c r="L75" s="27"/>
      <c r="M75" s="27"/>
      <c r="N75" s="27"/>
      <c r="O75" s="27"/>
      <c r="P75" s="124"/>
    </row>
    <row r="76" spans="2:16" x14ac:dyDescent="0.25">
      <c r="B76" s="122"/>
      <c r="C76" s="172" t="s">
        <v>209</v>
      </c>
      <c r="D76" s="43"/>
      <c r="E76" s="43">
        <v>27</v>
      </c>
      <c r="F76" s="43"/>
      <c r="G76" s="37">
        <v>27</v>
      </c>
      <c r="H76" s="27"/>
      <c r="I76" s="171"/>
      <c r="J76" s="27"/>
      <c r="K76" s="27"/>
      <c r="L76" s="27"/>
      <c r="M76" s="27"/>
      <c r="N76" s="27"/>
      <c r="O76" s="27"/>
      <c r="P76" s="124"/>
    </row>
    <row r="77" spans="2:16" x14ac:dyDescent="0.25">
      <c r="B77" s="122"/>
      <c r="C77" s="172" t="s">
        <v>210</v>
      </c>
      <c r="D77" s="43"/>
      <c r="E77" s="43">
        <v>27</v>
      </c>
      <c r="F77" s="43"/>
      <c r="G77" s="37">
        <v>27</v>
      </c>
      <c r="H77" s="27"/>
      <c r="I77" s="171"/>
      <c r="J77" s="27"/>
      <c r="K77" s="27"/>
      <c r="L77" s="27"/>
      <c r="M77" s="27"/>
      <c r="N77" s="27"/>
      <c r="O77" s="27"/>
      <c r="P77" s="124"/>
    </row>
    <row r="78" spans="2:16" x14ac:dyDescent="0.25">
      <c r="B78" s="122"/>
      <c r="C78" s="172" t="s">
        <v>211</v>
      </c>
      <c r="D78" s="43"/>
      <c r="E78" s="43">
        <v>27</v>
      </c>
      <c r="F78" s="43"/>
      <c r="G78" s="37">
        <v>27</v>
      </c>
      <c r="H78" s="27"/>
      <c r="I78" s="171"/>
      <c r="J78" s="27"/>
      <c r="K78" s="27"/>
      <c r="L78" s="27"/>
      <c r="M78" s="27"/>
      <c r="N78" s="27"/>
      <c r="O78" s="27"/>
      <c r="P78" s="124"/>
    </row>
    <row r="79" spans="2:16" x14ac:dyDescent="0.25">
      <c r="B79" s="122"/>
      <c r="C79" s="172" t="s">
        <v>212</v>
      </c>
      <c r="D79" s="43"/>
      <c r="E79" s="43">
        <v>27</v>
      </c>
      <c r="F79" s="43"/>
      <c r="G79" s="37">
        <v>27</v>
      </c>
      <c r="H79" s="27"/>
      <c r="I79" s="171"/>
      <c r="J79" s="27"/>
      <c r="K79" s="27"/>
      <c r="L79" s="27"/>
      <c r="M79" s="27"/>
      <c r="N79" s="27"/>
      <c r="O79" s="27"/>
      <c r="P79" s="124"/>
    </row>
    <row r="80" spans="2:16" x14ac:dyDescent="0.25">
      <c r="B80" s="122"/>
      <c r="C80" s="172" t="s">
        <v>213</v>
      </c>
      <c r="D80" s="43"/>
      <c r="E80" s="43">
        <v>27</v>
      </c>
      <c r="F80" s="43"/>
      <c r="G80" s="37">
        <v>27</v>
      </c>
      <c r="H80" s="27"/>
      <c r="I80" s="171"/>
      <c r="J80" s="27"/>
      <c r="K80" s="27"/>
      <c r="L80" s="27"/>
      <c r="M80" s="27"/>
      <c r="N80" s="27"/>
      <c r="O80" s="27"/>
      <c r="P80" s="124"/>
    </row>
    <row r="81" spans="2:16" x14ac:dyDescent="0.25">
      <c r="B81" s="122"/>
      <c r="C81" s="172" t="s">
        <v>214</v>
      </c>
      <c r="D81" s="43"/>
      <c r="E81" s="43">
        <v>27</v>
      </c>
      <c r="F81" s="43"/>
      <c r="G81" s="37">
        <v>27</v>
      </c>
      <c r="H81" s="27"/>
      <c r="I81" s="171"/>
      <c r="J81" s="27"/>
      <c r="K81" s="27"/>
      <c r="L81" s="27"/>
      <c r="M81" s="27"/>
      <c r="N81" s="27"/>
      <c r="O81" s="27"/>
      <c r="P81" s="124"/>
    </row>
    <row r="82" spans="2:16" x14ac:dyDescent="0.25">
      <c r="B82" s="122"/>
      <c r="C82" s="172" t="s">
        <v>215</v>
      </c>
      <c r="D82" s="43"/>
      <c r="E82" s="43">
        <v>27</v>
      </c>
      <c r="F82" s="43"/>
      <c r="G82" s="37">
        <v>27</v>
      </c>
      <c r="H82" s="27"/>
      <c r="I82" s="171"/>
      <c r="J82" s="27"/>
      <c r="K82" s="27"/>
      <c r="L82" s="27"/>
      <c r="M82" s="27"/>
      <c r="N82" s="27"/>
      <c r="O82" s="27"/>
      <c r="P82" s="124"/>
    </row>
    <row r="83" spans="2:16" x14ac:dyDescent="0.25">
      <c r="B83" s="122"/>
      <c r="C83" s="172" t="s">
        <v>216</v>
      </c>
      <c r="D83" s="43"/>
      <c r="E83" s="43">
        <v>27</v>
      </c>
      <c r="F83" s="43"/>
      <c r="G83" s="37">
        <v>27</v>
      </c>
      <c r="H83" s="27"/>
      <c r="I83" s="171"/>
      <c r="J83" s="27"/>
      <c r="K83" s="27"/>
      <c r="L83" s="27"/>
      <c r="M83" s="27"/>
      <c r="N83" s="27"/>
      <c r="O83" s="27"/>
      <c r="P83" s="124"/>
    </row>
    <row r="84" spans="2:16" x14ac:dyDescent="0.25">
      <c r="B84" s="122"/>
      <c r="C84" s="172" t="s">
        <v>217</v>
      </c>
      <c r="D84" s="43"/>
      <c r="E84" s="43">
        <v>27</v>
      </c>
      <c r="F84" s="43"/>
      <c r="G84" s="37">
        <v>27</v>
      </c>
      <c r="H84" s="27"/>
      <c r="I84" s="171"/>
      <c r="J84" s="27"/>
      <c r="K84" s="27"/>
      <c r="L84" s="27"/>
      <c r="M84" s="27"/>
      <c r="N84" s="27"/>
      <c r="O84" s="27"/>
      <c r="P84" s="124"/>
    </row>
    <row r="85" spans="2:16" x14ac:dyDescent="0.25">
      <c r="B85" s="122"/>
      <c r="C85" s="172" t="s">
        <v>218</v>
      </c>
      <c r="D85" s="43"/>
      <c r="E85" s="43">
        <v>27</v>
      </c>
      <c r="F85" s="43"/>
      <c r="G85" s="37">
        <v>27</v>
      </c>
      <c r="H85" s="27"/>
      <c r="I85" s="171"/>
      <c r="J85" s="27"/>
      <c r="K85" s="27"/>
      <c r="L85" s="27"/>
      <c r="M85" s="27"/>
      <c r="N85" s="27"/>
      <c r="O85" s="27"/>
      <c r="P85" s="124"/>
    </row>
    <row r="86" spans="2:16" x14ac:dyDescent="0.25">
      <c r="B86" s="122"/>
      <c r="C86" s="172" t="s">
        <v>219</v>
      </c>
      <c r="D86" s="43"/>
      <c r="E86" s="43">
        <v>27</v>
      </c>
      <c r="F86" s="43"/>
      <c r="G86" s="37">
        <v>27</v>
      </c>
      <c r="H86" s="27"/>
      <c r="I86" s="171"/>
      <c r="J86" s="27"/>
      <c r="K86" s="27"/>
      <c r="L86" s="27"/>
      <c r="M86" s="27"/>
      <c r="N86" s="27"/>
      <c r="O86" s="27"/>
      <c r="P86" s="124"/>
    </row>
    <row r="87" spans="2:16" x14ac:dyDescent="0.25">
      <c r="B87" s="122"/>
      <c r="C87" s="172" t="s">
        <v>220</v>
      </c>
      <c r="D87" s="43"/>
      <c r="E87" s="43">
        <v>27</v>
      </c>
      <c r="F87" s="43"/>
      <c r="G87" s="37">
        <v>27</v>
      </c>
      <c r="H87" s="27"/>
      <c r="I87" s="171"/>
      <c r="J87" s="27"/>
      <c r="K87" s="27"/>
      <c r="L87" s="27"/>
      <c r="M87" s="27"/>
      <c r="N87" s="27"/>
      <c r="O87" s="27"/>
      <c r="P87" s="124"/>
    </row>
    <row r="88" spans="2:16" x14ac:dyDescent="0.25">
      <c r="B88" s="122"/>
      <c r="C88" s="172" t="s">
        <v>221</v>
      </c>
      <c r="D88" s="43"/>
      <c r="E88" s="43">
        <v>27</v>
      </c>
      <c r="F88" s="43"/>
      <c r="G88" s="37">
        <v>27</v>
      </c>
      <c r="H88" s="27"/>
      <c r="I88" s="171"/>
      <c r="J88" s="27"/>
      <c r="K88" s="27"/>
      <c r="L88" s="27"/>
      <c r="M88" s="27"/>
      <c r="N88" s="27"/>
      <c r="O88" s="27"/>
      <c r="P88" s="124"/>
    </row>
    <row r="89" spans="2:16" x14ac:dyDescent="0.25">
      <c r="B89" s="122"/>
      <c r="C89" s="172" t="s">
        <v>222</v>
      </c>
      <c r="D89" s="43"/>
      <c r="E89" s="43">
        <v>27</v>
      </c>
      <c r="F89" s="43"/>
      <c r="G89" s="37">
        <v>27</v>
      </c>
      <c r="H89" s="27"/>
      <c r="I89" s="171"/>
      <c r="J89" s="27"/>
      <c r="K89" s="27"/>
      <c r="L89" s="27"/>
      <c r="M89" s="27"/>
      <c r="N89" s="27"/>
      <c r="O89" s="27"/>
      <c r="P89" s="124"/>
    </row>
    <row r="90" spans="2:16" x14ac:dyDescent="0.25">
      <c r="B90" s="122"/>
      <c r="C90" s="172" t="s">
        <v>223</v>
      </c>
      <c r="D90" s="43"/>
      <c r="E90" s="43">
        <v>27</v>
      </c>
      <c r="F90" s="43"/>
      <c r="G90" s="37">
        <v>27</v>
      </c>
      <c r="H90" s="27"/>
      <c r="I90" s="171"/>
      <c r="J90" s="27"/>
      <c r="K90" s="27"/>
      <c r="L90" s="27"/>
      <c r="M90" s="27"/>
      <c r="N90" s="27"/>
      <c r="O90" s="27"/>
      <c r="P90" s="124"/>
    </row>
    <row r="91" spans="2:16" x14ac:dyDescent="0.25">
      <c r="B91" s="122"/>
      <c r="C91" s="172" t="s">
        <v>224</v>
      </c>
      <c r="D91" s="43"/>
      <c r="E91" s="43">
        <v>72.900000000000006</v>
      </c>
      <c r="F91" s="43"/>
      <c r="G91" s="40">
        <v>72.900000000000006</v>
      </c>
      <c r="H91" s="27"/>
      <c r="I91" s="171"/>
      <c r="J91" s="27"/>
      <c r="K91" s="27"/>
      <c r="L91" s="27"/>
      <c r="M91" s="27"/>
      <c r="N91" s="27"/>
      <c r="O91" s="27"/>
      <c r="P91" s="124"/>
    </row>
    <row r="92" spans="2:16" x14ac:dyDescent="0.25">
      <c r="B92" s="122"/>
      <c r="C92" s="172" t="s">
        <v>225</v>
      </c>
      <c r="D92" s="43"/>
      <c r="E92" s="43">
        <v>96.3</v>
      </c>
      <c r="F92" s="43"/>
      <c r="G92" s="40">
        <v>96.3</v>
      </c>
      <c r="H92" s="27"/>
      <c r="I92" s="171"/>
      <c r="J92" s="27"/>
      <c r="K92" s="27"/>
      <c r="L92" s="27"/>
      <c r="M92" s="27"/>
      <c r="N92" s="27"/>
      <c r="O92" s="27"/>
      <c r="P92" s="124"/>
    </row>
    <row r="93" spans="2:16" x14ac:dyDescent="0.25">
      <c r="B93" s="122"/>
      <c r="C93" s="172" t="s">
        <v>226</v>
      </c>
      <c r="D93" s="43"/>
      <c r="E93" s="43"/>
      <c r="F93" s="43"/>
      <c r="G93" s="37"/>
      <c r="H93" s="171"/>
      <c r="I93" s="171"/>
      <c r="J93" s="27"/>
      <c r="K93" s="27"/>
      <c r="L93" s="27"/>
      <c r="M93" s="27"/>
      <c r="N93" s="27"/>
      <c r="O93" s="27"/>
      <c r="P93" s="124"/>
    </row>
    <row r="94" spans="2:16" x14ac:dyDescent="0.25">
      <c r="B94" s="122"/>
      <c r="C94" s="172" t="s">
        <v>227</v>
      </c>
      <c r="D94" s="43"/>
      <c r="E94" s="43"/>
      <c r="F94" s="43"/>
      <c r="G94" s="37"/>
      <c r="H94" s="27"/>
      <c r="I94" s="171"/>
      <c r="J94" s="27"/>
      <c r="K94" s="27"/>
      <c r="L94" s="27"/>
      <c r="M94" s="27"/>
      <c r="N94" s="27"/>
      <c r="O94" s="27"/>
      <c r="P94" s="124"/>
    </row>
    <row r="95" spans="2:16" x14ac:dyDescent="0.25">
      <c r="B95" s="122"/>
      <c r="C95" s="27"/>
      <c r="D95" s="171"/>
      <c r="E95" s="27"/>
      <c r="F95" s="27"/>
      <c r="G95" s="27"/>
      <c r="H95" s="27"/>
      <c r="I95" s="171"/>
      <c r="J95" s="27"/>
      <c r="K95" s="27"/>
      <c r="L95" s="27"/>
      <c r="M95" s="27"/>
      <c r="N95" s="27"/>
      <c r="O95" s="27"/>
      <c r="P95" s="124"/>
    </row>
    <row r="96" spans="2:16" x14ac:dyDescent="0.25">
      <c r="B96" s="122"/>
      <c r="C96" s="27" t="s">
        <v>228</v>
      </c>
      <c r="D96" s="27"/>
      <c r="E96" s="27"/>
      <c r="F96" s="27"/>
      <c r="G96" s="27"/>
      <c r="H96" s="27"/>
      <c r="I96" s="27"/>
      <c r="J96" s="27"/>
      <c r="K96" s="27"/>
      <c r="L96" s="27"/>
      <c r="M96" s="27"/>
      <c r="N96" s="27"/>
      <c r="O96" s="27"/>
      <c r="P96" s="124"/>
    </row>
    <row r="97" spans="2:16" ht="45.95" customHeight="1" thickBot="1" x14ac:dyDescent="0.3">
      <c r="B97" s="122"/>
      <c r="C97" s="33" t="s">
        <v>229</v>
      </c>
      <c r="D97" s="33" t="s">
        <v>230</v>
      </c>
      <c r="E97" s="33" t="s">
        <v>231</v>
      </c>
      <c r="F97" s="33" t="s">
        <v>232</v>
      </c>
      <c r="G97" s="33" t="s">
        <v>233</v>
      </c>
      <c r="H97" s="33" t="s">
        <v>234</v>
      </c>
      <c r="I97" s="33" t="s">
        <v>235</v>
      </c>
      <c r="J97" s="45" t="s">
        <v>236</v>
      </c>
      <c r="K97" s="33" t="s">
        <v>237</v>
      </c>
      <c r="L97" s="39" t="s">
        <v>238</v>
      </c>
      <c r="M97" s="45" t="s">
        <v>239</v>
      </c>
      <c r="N97" s="33" t="s">
        <v>240</v>
      </c>
      <c r="O97" s="39" t="s">
        <v>241</v>
      </c>
      <c r="P97" s="112"/>
    </row>
    <row r="98" spans="2:16" ht="17.25" customHeight="1" thickTop="1" x14ac:dyDescent="0.25">
      <c r="B98" s="122"/>
      <c r="C98" s="173" t="s">
        <v>242</v>
      </c>
      <c r="D98" s="173" t="s">
        <v>243</v>
      </c>
      <c r="E98" s="173" t="b">
        <v>0</v>
      </c>
      <c r="F98" s="173" t="s">
        <v>244</v>
      </c>
      <c r="G98" s="173" t="s">
        <v>245</v>
      </c>
      <c r="H98" s="34" t="str">
        <f>C98&amp;"|"&amp;D98&amp;"|"&amp;E98&amp;"|"&amp;F98&amp;"|"&amp;G98</f>
        <v>Tees Lower and Estuary|Cereals|FALSE|Under600|DrainedAr</v>
      </c>
      <c r="I98" s="47">
        <v>0.216116218140633</v>
      </c>
      <c r="J98" s="119">
        <v>16.261973283160899</v>
      </c>
      <c r="K98" s="34" t="str">
        <f>D98&amp;"|"&amp;F98</f>
        <v>Cereals|Under600</v>
      </c>
      <c r="L98" s="44">
        <f>AVERAGE(I98)</f>
        <v>0.216116218140633</v>
      </c>
      <c r="M98" s="119">
        <f>AVERAGE(J98)</f>
        <v>16.261973283160899</v>
      </c>
      <c r="N98" s="47">
        <f>AVERAGE(I98:I105,I137:I148,I227:I232,I254:I258,I280:I285)</f>
        <v>0.45768222291898164</v>
      </c>
      <c r="O98" s="219">
        <f>AVERAGE(J98:J105,J137:J148,J227:J232,J254:J258,J280:J285)</f>
        <v>23.107858045518753</v>
      </c>
      <c r="P98" s="112"/>
    </row>
    <row r="99" spans="2:16" ht="17.25" customHeight="1" x14ac:dyDescent="0.25">
      <c r="B99" s="122"/>
      <c r="C99" s="173" t="s">
        <v>242</v>
      </c>
      <c r="D99" s="173" t="s">
        <v>243</v>
      </c>
      <c r="E99" s="173" t="b">
        <v>0</v>
      </c>
      <c r="F99" s="173" t="s">
        <v>246</v>
      </c>
      <c r="G99" s="173" t="s">
        <v>247</v>
      </c>
      <c r="H99" s="34" t="str">
        <f t="shared" ref="H99:H162" si="0">C99&amp;"|"&amp;D99&amp;"|"&amp;E99&amp;"|"&amp;F99&amp;"|"&amp;G99</f>
        <v>Tees Lower and Estuary|Cereals|FALSE|600to700|FreeDrain</v>
      </c>
      <c r="I99" s="47">
        <v>5.7157353269047216E-2</v>
      </c>
      <c r="J99" s="119">
        <v>25.402211813493153</v>
      </c>
      <c r="K99" s="34" t="str">
        <f t="shared" ref="K99:K162" si="1">D99&amp;"|"&amp;F99</f>
        <v>Cereals|600to700</v>
      </c>
      <c r="L99" s="44">
        <f>AVERAGE(I99,I101,I103)</f>
        <v>0.30521571251944674</v>
      </c>
      <c r="M99" s="119">
        <f>AVERAGE(J99,J101,J103)</f>
        <v>21.548001455067844</v>
      </c>
      <c r="N99" s="47"/>
      <c r="O99" s="44"/>
      <c r="P99" s="112"/>
    </row>
    <row r="100" spans="2:16" ht="17.25" customHeight="1" x14ac:dyDescent="0.25">
      <c r="B100" s="122"/>
      <c r="C100" s="173" t="s">
        <v>242</v>
      </c>
      <c r="D100" s="173" t="s">
        <v>243</v>
      </c>
      <c r="E100" s="173" t="b">
        <v>1</v>
      </c>
      <c r="F100" s="173" t="s">
        <v>246</v>
      </c>
      <c r="G100" s="173" t="s">
        <v>247</v>
      </c>
      <c r="H100" s="34" t="str">
        <f t="shared" si="0"/>
        <v>Tees Lower and Estuary|Cereals|TRUE|600to700|FreeDrain</v>
      </c>
      <c r="I100" s="47">
        <v>5.7148330856041207E-2</v>
      </c>
      <c r="J100" s="119">
        <v>25.316789996401887</v>
      </c>
      <c r="K100" s="34" t="str">
        <f t="shared" si="1"/>
        <v>Cereals|600to700</v>
      </c>
      <c r="L100" s="44"/>
      <c r="M100" s="119"/>
      <c r="N100" s="47"/>
      <c r="O100" s="44"/>
      <c r="P100" s="112"/>
    </row>
    <row r="101" spans="2:16" ht="17.25" customHeight="1" x14ac:dyDescent="0.25">
      <c r="B101" s="122"/>
      <c r="C101" s="173" t="s">
        <v>242</v>
      </c>
      <c r="D101" s="173" t="s">
        <v>243</v>
      </c>
      <c r="E101" s="173" t="b">
        <v>0</v>
      </c>
      <c r="F101" s="173" t="s">
        <v>246</v>
      </c>
      <c r="G101" s="173" t="s">
        <v>245</v>
      </c>
      <c r="H101" s="34" t="str">
        <f t="shared" si="0"/>
        <v>Tees Lower and Estuary|Cereals|FALSE|600to700|DrainedAr</v>
      </c>
      <c r="I101" s="47">
        <v>0.32013132374794012</v>
      </c>
      <c r="J101" s="119">
        <v>18.892707567375723</v>
      </c>
      <c r="K101" s="34" t="str">
        <f t="shared" si="1"/>
        <v>Cereals|600to700</v>
      </c>
      <c r="L101" s="44"/>
      <c r="M101" s="119"/>
      <c r="N101" s="47"/>
      <c r="O101" s="44"/>
      <c r="P101" s="112"/>
    </row>
    <row r="102" spans="2:16" ht="17.25" customHeight="1" x14ac:dyDescent="0.25">
      <c r="B102" s="122"/>
      <c r="C102" s="173" t="s">
        <v>242</v>
      </c>
      <c r="D102" s="173" t="s">
        <v>243</v>
      </c>
      <c r="E102" s="173" t="b">
        <v>1</v>
      </c>
      <c r="F102" s="173" t="s">
        <v>246</v>
      </c>
      <c r="G102" s="173" t="s">
        <v>245</v>
      </c>
      <c r="H102" s="34" t="str">
        <f t="shared" si="0"/>
        <v>Tees Lower and Estuary|Cereals|TRUE|600to700|DrainedAr</v>
      </c>
      <c r="I102" s="47">
        <v>0.3200911185054135</v>
      </c>
      <c r="J102" s="119">
        <v>18.832263038000356</v>
      </c>
      <c r="K102" s="34" t="str">
        <f t="shared" si="1"/>
        <v>Cereals|600to700</v>
      </c>
      <c r="L102" s="44"/>
      <c r="M102" s="119"/>
      <c r="N102" s="47"/>
      <c r="O102" s="44"/>
      <c r="P102" s="112"/>
    </row>
    <row r="103" spans="2:16" ht="17.25" customHeight="1" x14ac:dyDescent="0.25">
      <c r="B103" s="122"/>
      <c r="C103" s="173" t="s">
        <v>242</v>
      </c>
      <c r="D103" s="173" t="s">
        <v>243</v>
      </c>
      <c r="E103" s="173" t="b">
        <v>0</v>
      </c>
      <c r="F103" s="173" t="s">
        <v>246</v>
      </c>
      <c r="G103" s="173" t="s">
        <v>248</v>
      </c>
      <c r="H103" s="34" t="str">
        <f t="shared" si="0"/>
        <v>Tees Lower and Estuary|Cereals|FALSE|600to700|DrainedArGr</v>
      </c>
      <c r="I103" s="47">
        <v>0.53835846054135295</v>
      </c>
      <c r="J103" s="119">
        <v>20.349084984334656</v>
      </c>
      <c r="K103" s="34" t="str">
        <f t="shared" si="1"/>
        <v>Cereals|600to700</v>
      </c>
      <c r="L103" s="44"/>
      <c r="M103" s="119"/>
      <c r="N103" s="47"/>
      <c r="O103" s="44"/>
      <c r="P103" s="112"/>
    </row>
    <row r="104" spans="2:16" ht="17.25" customHeight="1" x14ac:dyDescent="0.25">
      <c r="B104" s="122"/>
      <c r="C104" s="173" t="s">
        <v>242</v>
      </c>
      <c r="D104" s="173" t="s">
        <v>243</v>
      </c>
      <c r="E104" s="173" t="b">
        <v>1</v>
      </c>
      <c r="F104" s="173" t="s">
        <v>246</v>
      </c>
      <c r="G104" s="173" t="s">
        <v>248</v>
      </c>
      <c r="H104" s="34" t="str">
        <f t="shared" si="0"/>
        <v>Tees Lower and Estuary|Cereals|TRUE|600to700|DrainedArGr</v>
      </c>
      <c r="I104" s="47">
        <v>0.53824778580637</v>
      </c>
      <c r="J104" s="119">
        <v>20.288411275209778</v>
      </c>
      <c r="K104" s="34" t="str">
        <f t="shared" si="1"/>
        <v>Cereals|600to700</v>
      </c>
      <c r="L104" s="44"/>
      <c r="M104" s="119"/>
      <c r="N104" s="47"/>
      <c r="O104" s="44"/>
      <c r="P104" s="112"/>
    </row>
    <row r="105" spans="2:16" ht="17.25" customHeight="1" x14ac:dyDescent="0.25">
      <c r="B105" s="122"/>
      <c r="C105" s="173" t="s">
        <v>242</v>
      </c>
      <c r="D105" s="173" t="s">
        <v>243</v>
      </c>
      <c r="E105" s="173" t="b">
        <v>0</v>
      </c>
      <c r="F105" s="173" t="s">
        <v>249</v>
      </c>
      <c r="G105" s="173" t="s">
        <v>248</v>
      </c>
      <c r="H105" s="34" t="str">
        <f t="shared" si="0"/>
        <v>Tees Lower and Estuary|Cereals|FALSE|700to900|DrainedArGr</v>
      </c>
      <c r="I105" s="47">
        <v>0.95478963209691192</v>
      </c>
      <c r="J105" s="119">
        <v>22.502917601971419</v>
      </c>
      <c r="K105" s="34" t="str">
        <f t="shared" si="1"/>
        <v>Cereals|700to900</v>
      </c>
      <c r="L105" s="44">
        <f>AVERAGE(I105,I327,I329)</f>
        <v>0.58569437794095602</v>
      </c>
      <c r="M105" s="119">
        <f>AVERAGE(J105,J327,J329)</f>
        <v>25.01433746845618</v>
      </c>
      <c r="N105" s="47"/>
      <c r="O105" s="44"/>
      <c r="P105" s="112"/>
    </row>
    <row r="106" spans="2:16" ht="17.25" customHeight="1" x14ac:dyDescent="0.25">
      <c r="B106" s="122"/>
      <c r="C106" s="173" t="s">
        <v>242</v>
      </c>
      <c r="D106" s="173" t="s">
        <v>250</v>
      </c>
      <c r="E106" s="173" t="b">
        <v>0</v>
      </c>
      <c r="F106" s="173" t="s">
        <v>246</v>
      </c>
      <c r="G106" s="173" t="s">
        <v>247</v>
      </c>
      <c r="H106" s="34" t="str">
        <f t="shared" si="0"/>
        <v>Tees Lower and Estuary|General|FALSE|600to700|FreeDrain</v>
      </c>
      <c r="I106" s="47">
        <v>4.7179534442888624E-2</v>
      </c>
      <c r="J106" s="119">
        <v>19.745205392660388</v>
      </c>
      <c r="K106" s="34" t="str">
        <f t="shared" si="1"/>
        <v>General|600to700</v>
      </c>
      <c r="L106" s="44">
        <f>AVERAGE(I106:I108)</f>
        <v>0.2322648011301347</v>
      </c>
      <c r="M106" s="119">
        <f>AVERAGE(J106:J108)</f>
        <v>16.154740191491776</v>
      </c>
      <c r="N106" s="47">
        <f>AVERAGE(I106:I109,I149:I159,I201:I206,I233:I235,I259:I261,I286:I291)</f>
        <v>0.4360909399510064</v>
      </c>
      <c r="O106" s="44">
        <f>AVERAGE(J106:J109,J149:J159,J201:J206,J233:J235,J259:J261,J286:J291)</f>
        <v>16.726184556459021</v>
      </c>
      <c r="P106" s="112"/>
    </row>
    <row r="107" spans="2:16" ht="17.25" customHeight="1" x14ac:dyDescent="0.25">
      <c r="B107" s="122"/>
      <c r="C107" s="173" t="s">
        <v>242</v>
      </c>
      <c r="D107" s="173" t="s">
        <v>250</v>
      </c>
      <c r="E107" s="173" t="b">
        <v>1</v>
      </c>
      <c r="F107" s="173" t="s">
        <v>246</v>
      </c>
      <c r="G107" s="173" t="s">
        <v>245</v>
      </c>
      <c r="H107" s="34" t="str">
        <f t="shared" si="0"/>
        <v>Tees Lower and Estuary|General|TRUE|600to700|DrainedAr</v>
      </c>
      <c r="I107" s="47">
        <v>0.22676273535547348</v>
      </c>
      <c r="J107" s="119">
        <v>14.02325266564668</v>
      </c>
      <c r="K107" s="34" t="str">
        <f t="shared" si="1"/>
        <v>General|600to700</v>
      </c>
      <c r="L107" s="44"/>
      <c r="M107" s="119"/>
      <c r="N107" s="47"/>
      <c r="O107" s="44"/>
      <c r="P107" s="112"/>
    </row>
    <row r="108" spans="2:16" ht="17.25" customHeight="1" x14ac:dyDescent="0.25">
      <c r="B108" s="122"/>
      <c r="C108" s="173" t="s">
        <v>242</v>
      </c>
      <c r="D108" s="173" t="s">
        <v>250</v>
      </c>
      <c r="E108" s="173" t="b">
        <v>0</v>
      </c>
      <c r="F108" s="173" t="s">
        <v>246</v>
      </c>
      <c r="G108" s="173" t="s">
        <v>248</v>
      </c>
      <c r="H108" s="34" t="str">
        <f t="shared" si="0"/>
        <v>Tees Lower and Estuary|General|FALSE|600to700|DrainedArGr</v>
      </c>
      <c r="I108" s="47">
        <v>0.42285213359204199</v>
      </c>
      <c r="J108" s="119">
        <v>14.69576251616826</v>
      </c>
      <c r="K108" s="34" t="str">
        <f t="shared" si="1"/>
        <v>General|600to700</v>
      </c>
      <c r="L108" s="44"/>
      <c r="M108" s="119"/>
      <c r="N108" s="47"/>
      <c r="O108" s="44"/>
      <c r="P108" s="112"/>
    </row>
    <row r="109" spans="2:16" ht="17.25" customHeight="1" x14ac:dyDescent="0.25">
      <c r="B109" s="122"/>
      <c r="C109" s="173" t="s">
        <v>242</v>
      </c>
      <c r="D109" s="173" t="s">
        <v>250</v>
      </c>
      <c r="E109" s="173" t="b">
        <v>1</v>
      </c>
      <c r="F109" s="173" t="s">
        <v>246</v>
      </c>
      <c r="G109" s="173" t="s">
        <v>248</v>
      </c>
      <c r="H109" s="34" t="str">
        <f t="shared" si="0"/>
        <v>Tees Lower and Estuary|General|TRUE|600to700|DrainedArGr</v>
      </c>
      <c r="I109" s="47">
        <v>0.42285213359204199</v>
      </c>
      <c r="J109" s="119">
        <v>14.660790386562105</v>
      </c>
      <c r="K109" s="34" t="str">
        <f t="shared" si="1"/>
        <v>General|600to700</v>
      </c>
      <c r="L109" s="44"/>
      <c r="M109" s="119"/>
      <c r="N109" s="47"/>
      <c r="O109" s="44"/>
      <c r="P109" s="112"/>
    </row>
    <row r="110" spans="2:16" ht="17.25" customHeight="1" x14ac:dyDescent="0.25">
      <c r="B110" s="122"/>
      <c r="C110" s="173" t="s">
        <v>242</v>
      </c>
      <c r="D110" s="173" t="s">
        <v>251</v>
      </c>
      <c r="E110" s="173" t="b">
        <v>1</v>
      </c>
      <c r="F110" s="173" t="s">
        <v>246</v>
      </c>
      <c r="G110" s="173" t="s">
        <v>247</v>
      </c>
      <c r="H110" s="34" t="str">
        <f t="shared" si="0"/>
        <v>Tees Lower and Estuary|Horticulture|TRUE|600to700|FreeDrain</v>
      </c>
      <c r="I110" s="47">
        <v>4.9549179572631386E-2</v>
      </c>
      <c r="J110" s="119">
        <v>21.768707657756451</v>
      </c>
      <c r="K110" s="34" t="str">
        <f t="shared" si="1"/>
        <v>Horticulture|600to700</v>
      </c>
      <c r="L110" s="44">
        <f>AVERAGE(I110:I111,I351)</f>
        <v>0.25420169053194092</v>
      </c>
      <c r="M110" s="119">
        <f>AVERAGE(J110:J111,J351)</f>
        <v>16.674185402758535</v>
      </c>
      <c r="N110" s="47">
        <f>AVERAGE(I110:I112)</f>
        <v>0.3386785422605767</v>
      </c>
      <c r="O110" s="44">
        <f>AVERAGE(J110:J112)</f>
        <v>17.672487087649859</v>
      </c>
      <c r="P110" s="112"/>
    </row>
    <row r="111" spans="2:16" ht="17.25" customHeight="1" x14ac:dyDescent="0.25">
      <c r="B111" s="122"/>
      <c r="C111" s="173" t="s">
        <v>242</v>
      </c>
      <c r="D111" s="173" t="s">
        <v>251</v>
      </c>
      <c r="E111" s="173" t="b">
        <v>0</v>
      </c>
      <c r="F111" s="173" t="s">
        <v>246</v>
      </c>
      <c r="G111" s="173" t="s">
        <v>248</v>
      </c>
      <c r="H111" s="34" t="str">
        <f t="shared" si="0"/>
        <v>Tees Lower and Estuary|Horticulture|FALSE|600to700|DrainedArGr</v>
      </c>
      <c r="I111" s="47">
        <v>0.4832432236045493</v>
      </c>
      <c r="J111" s="119">
        <v>15.643775984814893</v>
      </c>
      <c r="K111" s="34" t="str">
        <f t="shared" si="1"/>
        <v>Horticulture|600to700</v>
      </c>
      <c r="L111" s="44"/>
      <c r="M111" s="119"/>
      <c r="N111" s="47"/>
      <c r="O111" s="44"/>
      <c r="P111" s="112"/>
    </row>
    <row r="112" spans="2:16" ht="17.25" customHeight="1" x14ac:dyDescent="0.25">
      <c r="B112" s="122"/>
      <c r="C112" s="173" t="s">
        <v>242</v>
      </c>
      <c r="D112" s="173" t="s">
        <v>251</v>
      </c>
      <c r="E112" s="173" t="b">
        <v>1</v>
      </c>
      <c r="F112" s="173" t="s">
        <v>246</v>
      </c>
      <c r="G112" s="173" t="s">
        <v>248</v>
      </c>
      <c r="H112" s="34" t="str">
        <f t="shared" si="0"/>
        <v>Tees Lower and Estuary|Horticulture|TRUE|600to700|DrainedArGr</v>
      </c>
      <c r="I112" s="47">
        <v>0.4832432236045493</v>
      </c>
      <c r="J112" s="119">
        <v>15.604977620378227</v>
      </c>
      <c r="K112" s="34" t="str">
        <f t="shared" si="1"/>
        <v>Horticulture|600to700</v>
      </c>
      <c r="L112" s="44"/>
      <c r="M112" s="119"/>
      <c r="N112" s="47"/>
      <c r="O112" s="44"/>
      <c r="P112" s="112"/>
    </row>
    <row r="113" spans="2:16" ht="17.25" customHeight="1" x14ac:dyDescent="0.25">
      <c r="B113" s="122"/>
      <c r="C113" s="173" t="s">
        <v>242</v>
      </c>
      <c r="D113" s="173" t="s">
        <v>252</v>
      </c>
      <c r="E113" s="173" t="b">
        <v>0</v>
      </c>
      <c r="F113" s="173" t="s">
        <v>246</v>
      </c>
      <c r="G113" s="173" t="s">
        <v>245</v>
      </c>
      <c r="H113" s="34" t="str">
        <f t="shared" si="0"/>
        <v>Tees Lower and Estuary|Pig|FALSE|600to700|DrainedAr</v>
      </c>
      <c r="I113" s="47">
        <v>0.34661562596811396</v>
      </c>
      <c r="J113" s="119">
        <v>79.865793356838608</v>
      </c>
      <c r="K113" s="34" t="str">
        <f t="shared" si="1"/>
        <v>Pig|600to700</v>
      </c>
      <c r="L113" s="44">
        <f>AVERAGE(I113,I115,I356)</f>
        <v>0.38912186111451263</v>
      </c>
      <c r="M113" s="119">
        <f>AVERAGE(J113,J115,J356)</f>
        <v>88.896890290813545</v>
      </c>
      <c r="N113" s="47">
        <f>AVERAGE(I113:I116,I160:I165,I262:I264,I292:I295)</f>
        <v>0.56771954420127546</v>
      </c>
      <c r="O113" s="44">
        <f>AVERAGE(J113:J116,J160:J165,J262:J264,J292:J295)</f>
        <v>75.368404729352989</v>
      </c>
      <c r="P113" s="112"/>
    </row>
    <row r="114" spans="2:16" ht="17.25" customHeight="1" x14ac:dyDescent="0.25">
      <c r="B114" s="122"/>
      <c r="C114" s="173" t="s">
        <v>242</v>
      </c>
      <c r="D114" s="173" t="s">
        <v>252</v>
      </c>
      <c r="E114" s="173" t="b">
        <v>1</v>
      </c>
      <c r="F114" s="173" t="s">
        <v>246</v>
      </c>
      <c r="G114" s="173" t="s">
        <v>245</v>
      </c>
      <c r="H114" s="34" t="str">
        <f t="shared" si="0"/>
        <v>Tees Lower and Estuary|Pig|TRUE|600to700|DrainedAr</v>
      </c>
      <c r="I114" s="47">
        <v>0.32292042676745902</v>
      </c>
      <c r="J114" s="119">
        <v>76.80107735251238</v>
      </c>
      <c r="K114" s="34" t="str">
        <f t="shared" si="1"/>
        <v>Pig|600to700</v>
      </c>
      <c r="L114" s="44"/>
      <c r="M114" s="119"/>
      <c r="N114" s="47"/>
      <c r="O114" s="44"/>
      <c r="P114" s="112"/>
    </row>
    <row r="115" spans="2:16" ht="17.25" customHeight="1" x14ac:dyDescent="0.25">
      <c r="B115" s="122"/>
      <c r="C115" s="173" t="s">
        <v>242</v>
      </c>
      <c r="D115" s="173" t="s">
        <v>252</v>
      </c>
      <c r="E115" s="173" t="b">
        <v>0</v>
      </c>
      <c r="F115" s="173" t="s">
        <v>246</v>
      </c>
      <c r="G115" s="173" t="s">
        <v>248</v>
      </c>
      <c r="H115" s="34" t="str">
        <f t="shared" si="0"/>
        <v>Tees Lower and Estuary|Pig|FALSE|600to700|DrainedArGr</v>
      </c>
      <c r="I115" s="47">
        <v>0.73313644528367317</v>
      </c>
      <c r="J115" s="119">
        <v>75.404294834178401</v>
      </c>
      <c r="K115" s="34" t="str">
        <f t="shared" si="1"/>
        <v>Pig|600to700</v>
      </c>
      <c r="L115" s="44"/>
      <c r="M115" s="119"/>
      <c r="N115" s="47"/>
      <c r="O115" s="44"/>
      <c r="P115" s="112"/>
    </row>
    <row r="116" spans="2:16" ht="17.25" customHeight="1" x14ac:dyDescent="0.25">
      <c r="B116" s="122"/>
      <c r="C116" s="173" t="s">
        <v>242</v>
      </c>
      <c r="D116" s="173" t="s">
        <v>252</v>
      </c>
      <c r="E116" s="173" t="b">
        <v>1</v>
      </c>
      <c r="F116" s="173" t="s">
        <v>246</v>
      </c>
      <c r="G116" s="173" t="s">
        <v>248</v>
      </c>
      <c r="H116" s="34" t="str">
        <f t="shared" si="0"/>
        <v>Tees Lower and Estuary|Pig|TRUE|600to700|DrainedArGr</v>
      </c>
      <c r="I116" s="47">
        <v>0.69905777160946891</v>
      </c>
      <c r="J116" s="119">
        <v>70.768391429243039</v>
      </c>
      <c r="K116" s="34" t="str">
        <f t="shared" si="1"/>
        <v>Pig|600to700</v>
      </c>
      <c r="L116" s="44"/>
      <c r="M116" s="119"/>
      <c r="N116" s="47"/>
      <c r="O116" s="44"/>
      <c r="P116" s="112"/>
    </row>
    <row r="117" spans="2:16" ht="17.25" customHeight="1" x14ac:dyDescent="0.25">
      <c r="B117" s="122"/>
      <c r="C117" s="173" t="s">
        <v>242</v>
      </c>
      <c r="D117" s="173" t="s">
        <v>253</v>
      </c>
      <c r="E117" s="173" t="b">
        <v>1</v>
      </c>
      <c r="F117" s="173" t="s">
        <v>246</v>
      </c>
      <c r="G117" s="173" t="s">
        <v>245</v>
      </c>
      <c r="H117" s="34" t="str">
        <f t="shared" si="0"/>
        <v>Tees Lower and Estuary|Poultry|TRUE|600to700|DrainedAr</v>
      </c>
      <c r="I117" s="47">
        <v>0.34847221418780822</v>
      </c>
      <c r="J117" s="119">
        <v>143.66753055550527</v>
      </c>
      <c r="K117" s="34" t="str">
        <f t="shared" si="1"/>
        <v>Poultry|600to700</v>
      </c>
      <c r="L117" s="44">
        <f>AVERAGE(I117,I119,I365)</f>
        <v>0.36799611009536165</v>
      </c>
      <c r="M117" s="119">
        <f>AVERAGE(J117,J119,J365)</f>
        <v>126.30628711768789</v>
      </c>
      <c r="N117" s="47">
        <f>AVERAGE(I117:I119,I207:I209,I236:I241,I296:I297)</f>
        <v>0.51361377415340936</v>
      </c>
      <c r="O117" s="44">
        <f>AVERAGE(J117:J119,J207:J209,J236:J241,J296:J297)</f>
        <v>65.03706427642723</v>
      </c>
      <c r="P117" s="112"/>
    </row>
    <row r="118" spans="2:16" ht="17.25" customHeight="1" x14ac:dyDescent="0.25">
      <c r="B118" s="122"/>
      <c r="C118" s="173" t="s">
        <v>242</v>
      </c>
      <c r="D118" s="173" t="s">
        <v>253</v>
      </c>
      <c r="E118" s="173" t="b">
        <v>0</v>
      </c>
      <c r="F118" s="173" t="s">
        <v>246</v>
      </c>
      <c r="G118" s="173" t="s">
        <v>248</v>
      </c>
      <c r="H118" s="34" t="str">
        <f t="shared" si="0"/>
        <v>Tees Lower and Estuary|Poultry|FALSE|600to700|DrainedArGr</v>
      </c>
      <c r="I118" s="47">
        <v>0.69992537357733098</v>
      </c>
      <c r="J118" s="119">
        <v>139.90123669612964</v>
      </c>
      <c r="K118" s="34" t="str">
        <f t="shared" si="1"/>
        <v>Poultry|600to700</v>
      </c>
      <c r="L118" s="44"/>
      <c r="M118" s="119"/>
      <c r="N118" s="47"/>
      <c r="O118" s="44"/>
      <c r="P118" s="112"/>
    </row>
    <row r="119" spans="2:16" ht="17.25" customHeight="1" x14ac:dyDescent="0.25">
      <c r="B119" s="122"/>
      <c r="C119" s="173" t="s">
        <v>242</v>
      </c>
      <c r="D119" s="173" t="s">
        <v>253</v>
      </c>
      <c r="E119" s="173" t="b">
        <v>1</v>
      </c>
      <c r="F119" s="173" t="s">
        <v>246</v>
      </c>
      <c r="G119" s="173" t="s">
        <v>248</v>
      </c>
      <c r="H119" s="34" t="str">
        <f t="shared" si="0"/>
        <v>Tees Lower and Estuary|Poultry|TRUE|600to700|DrainedArGr</v>
      </c>
      <c r="I119" s="47">
        <v>0.65685030991721871</v>
      </c>
      <c r="J119" s="119">
        <v>131.06334729355709</v>
      </c>
      <c r="K119" s="34" t="str">
        <f t="shared" si="1"/>
        <v>Poultry|600to700</v>
      </c>
      <c r="L119" s="44"/>
      <c r="M119" s="119"/>
      <c r="N119" s="47"/>
      <c r="O119" s="44"/>
      <c r="P119" s="112"/>
    </row>
    <row r="120" spans="2:16" ht="17.25" customHeight="1" x14ac:dyDescent="0.25">
      <c r="B120" s="122"/>
      <c r="C120" s="173" t="s">
        <v>242</v>
      </c>
      <c r="D120" s="173" t="s">
        <v>254</v>
      </c>
      <c r="E120" s="173" t="b">
        <v>0</v>
      </c>
      <c r="F120" s="173" t="s">
        <v>246</v>
      </c>
      <c r="G120" s="173" t="s">
        <v>245</v>
      </c>
      <c r="H120" s="34" t="str">
        <f t="shared" si="0"/>
        <v>Tees Lower and Estuary|Dairy|FALSE|600to700|DrainedAr</v>
      </c>
      <c r="I120" s="47">
        <v>0.22078870477586857</v>
      </c>
      <c r="J120" s="119">
        <v>25.30472803478964</v>
      </c>
      <c r="K120" s="34" t="str">
        <f t="shared" si="1"/>
        <v>Dairy|600to700</v>
      </c>
      <c r="L120" s="44">
        <f>AVERAGE(I120:I121,I376)</f>
        <v>0.44007909144579527</v>
      </c>
      <c r="M120" s="119">
        <f>AVERAGE(J120:J121,J376)</f>
        <v>24.729170248962323</v>
      </c>
      <c r="N120" s="47">
        <f>AVERAGE(I120:I122,I166:I169,I242:I243,I265:I267,I298:I303)</f>
        <v>0.57962147514025142</v>
      </c>
      <c r="O120" s="44">
        <f>AVERAGE(J120:J122,J166:J169,J242:J243,J265:J267,J298:J303)</f>
        <v>21.556791169303505</v>
      </c>
      <c r="P120" s="112"/>
    </row>
    <row r="121" spans="2:16" ht="17.25" customHeight="1" x14ac:dyDescent="0.25">
      <c r="B121" s="122"/>
      <c r="C121" s="173" t="s">
        <v>242</v>
      </c>
      <c r="D121" s="173" t="s">
        <v>254</v>
      </c>
      <c r="E121" s="173" t="b">
        <v>0</v>
      </c>
      <c r="F121" s="173" t="s">
        <v>246</v>
      </c>
      <c r="G121" s="173" t="s">
        <v>248</v>
      </c>
      <c r="H121" s="34" t="str">
        <f t="shared" si="0"/>
        <v>Tees Lower and Estuary|Dairy|FALSE|600to700|DrainedArGr</v>
      </c>
      <c r="I121" s="47">
        <v>0.97432683362897121</v>
      </c>
      <c r="J121" s="119">
        <v>19.239773816216434</v>
      </c>
      <c r="K121" s="34" t="str">
        <f t="shared" si="1"/>
        <v>Dairy|600to700</v>
      </c>
      <c r="L121" s="44"/>
      <c r="M121" s="119"/>
      <c r="N121" s="47"/>
      <c r="O121" s="44"/>
      <c r="P121" s="112"/>
    </row>
    <row r="122" spans="2:16" ht="17.25" customHeight="1" x14ac:dyDescent="0.25">
      <c r="B122" s="122"/>
      <c r="C122" s="173" t="s">
        <v>242</v>
      </c>
      <c r="D122" s="173" t="s">
        <v>254</v>
      </c>
      <c r="E122" s="173" t="b">
        <v>1</v>
      </c>
      <c r="F122" s="173" t="s">
        <v>246</v>
      </c>
      <c r="G122" s="173" t="s">
        <v>248</v>
      </c>
      <c r="H122" s="34" t="str">
        <f t="shared" si="0"/>
        <v>Tees Lower and Estuary|Dairy|TRUE|600to700|DrainedArGr</v>
      </c>
      <c r="I122" s="47">
        <v>0.94220379113702957</v>
      </c>
      <c r="J122" s="119">
        <v>18.829060105183803</v>
      </c>
      <c r="K122" s="34" t="str">
        <f t="shared" si="1"/>
        <v>Dairy|600to700</v>
      </c>
      <c r="L122" s="44"/>
      <c r="M122" s="119"/>
      <c r="N122" s="47"/>
      <c r="O122" s="44"/>
      <c r="P122" s="112"/>
    </row>
    <row r="123" spans="2:16" ht="17.25" customHeight="1" x14ac:dyDescent="0.25">
      <c r="B123" s="122"/>
      <c r="C123" s="173" t="s">
        <v>242</v>
      </c>
      <c r="D123" s="173" t="s">
        <v>255</v>
      </c>
      <c r="E123" s="173" t="b">
        <v>0</v>
      </c>
      <c r="F123" s="173" t="s">
        <v>246</v>
      </c>
      <c r="G123" s="173" t="s">
        <v>248</v>
      </c>
      <c r="H123" s="34" t="str">
        <f t="shared" si="0"/>
        <v>Tees Lower and Estuary|LFA|FALSE|600to700|DrainedArGr</v>
      </c>
      <c r="I123" s="47">
        <v>0.42886101357962958</v>
      </c>
      <c r="J123" s="119">
        <v>7.7517999564330777</v>
      </c>
      <c r="K123" s="34" t="str">
        <f t="shared" si="1"/>
        <v>LFA|600to700</v>
      </c>
      <c r="L123" s="44">
        <f>AVERAGE(I123,I387,I389)</f>
        <v>0.17881733168894356</v>
      </c>
      <c r="M123" s="119">
        <f>AVERAGE(J123,J387,J389)</f>
        <v>6.8937399957231529</v>
      </c>
      <c r="N123" s="47">
        <f>AVERAGE(I123:I125,I170:I179,I210:I217,I244:I248,I272:I275,I310:I314)</f>
        <v>0.39001840278500211</v>
      </c>
      <c r="O123" s="44">
        <f>AVERAGE(J123:J125,J170:J179,J210:J217,J244:J248,J272:J275,J310:J314)</f>
        <v>10.706368878767908</v>
      </c>
      <c r="P123" s="112"/>
    </row>
    <row r="124" spans="2:16" ht="17.25" customHeight="1" x14ac:dyDescent="0.25">
      <c r="B124" s="122"/>
      <c r="C124" s="173" t="s">
        <v>242</v>
      </c>
      <c r="D124" s="173" t="s">
        <v>255</v>
      </c>
      <c r="E124" s="173" t="b">
        <v>0</v>
      </c>
      <c r="F124" s="173" t="s">
        <v>249</v>
      </c>
      <c r="G124" s="173" t="s">
        <v>247</v>
      </c>
      <c r="H124" s="34" t="str">
        <f t="shared" si="0"/>
        <v>Tees Lower and Estuary|LFA|FALSE|700to900|FreeDrain</v>
      </c>
      <c r="I124" s="47">
        <v>0.11199916460847367</v>
      </c>
      <c r="J124" s="119">
        <v>16.59709882286549</v>
      </c>
      <c r="K124" s="34" t="str">
        <f t="shared" si="1"/>
        <v>LFA|700to900</v>
      </c>
      <c r="L124" s="44"/>
      <c r="M124" s="119"/>
      <c r="N124" s="47"/>
      <c r="O124" s="44"/>
      <c r="P124" s="112"/>
    </row>
    <row r="125" spans="2:16" ht="17.25" customHeight="1" x14ac:dyDescent="0.25">
      <c r="B125" s="122"/>
      <c r="C125" s="173" t="s">
        <v>242</v>
      </c>
      <c r="D125" s="173" t="s">
        <v>255</v>
      </c>
      <c r="E125" s="173" t="b">
        <v>0</v>
      </c>
      <c r="F125" s="173" t="s">
        <v>249</v>
      </c>
      <c r="G125" s="173" t="s">
        <v>248</v>
      </c>
      <c r="H125" s="34" t="str">
        <f t="shared" si="0"/>
        <v>Tees Lower and Estuary|LFA|FALSE|700to900|DrainedArGr</v>
      </c>
      <c r="I125" s="47">
        <v>0.6599146993403302</v>
      </c>
      <c r="J125" s="119">
        <v>9.8197535455763312</v>
      </c>
      <c r="K125" s="34" t="str">
        <f t="shared" si="1"/>
        <v>LFA|700to900</v>
      </c>
      <c r="L125" s="44"/>
      <c r="M125" s="119"/>
      <c r="N125" s="47"/>
      <c r="O125" s="44"/>
      <c r="P125" s="112"/>
    </row>
    <row r="126" spans="2:16" ht="17.25" customHeight="1" x14ac:dyDescent="0.25">
      <c r="B126" s="122"/>
      <c r="C126" s="173" t="s">
        <v>242</v>
      </c>
      <c r="D126" s="173" t="s">
        <v>256</v>
      </c>
      <c r="E126" s="173" t="b">
        <v>0</v>
      </c>
      <c r="F126" s="173" t="s">
        <v>244</v>
      </c>
      <c r="G126" s="173" t="s">
        <v>245</v>
      </c>
      <c r="H126" s="34" t="str">
        <f t="shared" si="0"/>
        <v>Tees Lower and Estuary|Lowland|FALSE|Under600|DrainedAr</v>
      </c>
      <c r="I126" s="47">
        <v>0.12238724105729301</v>
      </c>
      <c r="J126" s="119">
        <v>8.4067670183254215</v>
      </c>
      <c r="K126" s="34" t="str">
        <f t="shared" si="1"/>
        <v>Lowland|Under600</v>
      </c>
      <c r="L126" s="44">
        <f>AVERAGE(I126)</f>
        <v>0.12238724105729301</v>
      </c>
      <c r="M126" s="119">
        <f>AVERAGE(J126)</f>
        <v>8.4067670183254215</v>
      </c>
      <c r="N126" s="47">
        <f>AVERAGE(I126:I131,I180:I190,I218:I222,I244:I248,I310:I314,I272:I275)</f>
        <v>0.42923263391076344</v>
      </c>
      <c r="O126" s="44">
        <f>AVERAGE(J126:J131,J180:J190,J218:J222,J244:J248,J310:J314,J272:J275)</f>
        <v>12.622212480213236</v>
      </c>
      <c r="P126" s="112"/>
    </row>
    <row r="127" spans="2:16" ht="17.25" customHeight="1" x14ac:dyDescent="0.25">
      <c r="B127" s="122"/>
      <c r="C127" s="173" t="s">
        <v>242</v>
      </c>
      <c r="D127" s="173" t="s">
        <v>256</v>
      </c>
      <c r="E127" s="173" t="b">
        <v>1</v>
      </c>
      <c r="F127" s="173" t="s">
        <v>246</v>
      </c>
      <c r="G127" s="173" t="s">
        <v>247</v>
      </c>
      <c r="H127" s="34" t="str">
        <f t="shared" si="0"/>
        <v>Tees Lower and Estuary|Lowland|TRUE|600to700|FreeDrain</v>
      </c>
      <c r="I127" s="47">
        <v>9.1126705478069572E-2</v>
      </c>
      <c r="J127" s="119">
        <v>17.057505606601978</v>
      </c>
      <c r="K127" s="34" t="str">
        <f t="shared" si="1"/>
        <v>Lowland|600to700</v>
      </c>
      <c r="L127" s="44">
        <f>AVERAGE(I127:I128,I130)</f>
        <v>0.2631743192534966</v>
      </c>
      <c r="M127" s="119">
        <f>AVERAGE(J127:J128,J130)</f>
        <v>13.023675718720183</v>
      </c>
      <c r="N127" s="47"/>
      <c r="O127" s="44"/>
      <c r="P127" s="112"/>
    </row>
    <row r="128" spans="2:16" ht="17.25" customHeight="1" x14ac:dyDescent="0.25">
      <c r="B128" s="122"/>
      <c r="C128" s="173" t="s">
        <v>242</v>
      </c>
      <c r="D128" s="173" t="s">
        <v>256</v>
      </c>
      <c r="E128" s="173" t="b">
        <v>0</v>
      </c>
      <c r="F128" s="173" t="s">
        <v>246</v>
      </c>
      <c r="G128" s="173" t="s">
        <v>245</v>
      </c>
      <c r="H128" s="34" t="str">
        <f t="shared" si="0"/>
        <v>Tees Lower and Estuary|Lowland|FALSE|600to700|DrainedAr</v>
      </c>
      <c r="I128" s="47">
        <v>0.13121476127789788</v>
      </c>
      <c r="J128" s="119">
        <v>11.604739453393067</v>
      </c>
      <c r="K128" s="34" t="str">
        <f t="shared" si="1"/>
        <v>Lowland|600to700</v>
      </c>
      <c r="L128" s="44"/>
      <c r="M128" s="119"/>
      <c r="N128" s="47"/>
      <c r="O128" s="44"/>
      <c r="P128" s="112"/>
    </row>
    <row r="129" spans="2:16" ht="17.25" customHeight="1" x14ac:dyDescent="0.25">
      <c r="B129" s="122"/>
      <c r="C129" s="173" t="s">
        <v>242</v>
      </c>
      <c r="D129" s="173" t="s">
        <v>256</v>
      </c>
      <c r="E129" s="173" t="b">
        <v>1</v>
      </c>
      <c r="F129" s="173" t="s">
        <v>246</v>
      </c>
      <c r="G129" s="173" t="s">
        <v>245</v>
      </c>
      <c r="H129" s="34" t="str">
        <f t="shared" si="0"/>
        <v>Tees Lower and Estuary|Lowland|TRUE|600to700|DrainedAr</v>
      </c>
      <c r="I129" s="47">
        <v>0.13121441199228073</v>
      </c>
      <c r="J129" s="119">
        <v>11.520106056898387</v>
      </c>
      <c r="K129" s="34" t="str">
        <f t="shared" si="1"/>
        <v>Lowland|600to700</v>
      </c>
      <c r="L129" s="44"/>
      <c r="M129" s="119"/>
      <c r="N129" s="47"/>
      <c r="O129" s="44"/>
      <c r="P129" s="112"/>
    </row>
    <row r="130" spans="2:16" ht="17.25" customHeight="1" x14ac:dyDescent="0.25">
      <c r="B130" s="122"/>
      <c r="C130" s="173" t="s">
        <v>242</v>
      </c>
      <c r="D130" s="173" t="s">
        <v>256</v>
      </c>
      <c r="E130" s="173" t="b">
        <v>0</v>
      </c>
      <c r="F130" s="173" t="s">
        <v>246</v>
      </c>
      <c r="G130" s="173" t="s">
        <v>248</v>
      </c>
      <c r="H130" s="34" t="str">
        <f t="shared" si="0"/>
        <v>Tees Lower and Estuary|Lowland|FALSE|600to700|DrainedArGr</v>
      </c>
      <c r="I130" s="47">
        <v>0.56718149100452242</v>
      </c>
      <c r="J130" s="119">
        <v>10.408782096165504</v>
      </c>
      <c r="K130" s="34" t="str">
        <f t="shared" si="1"/>
        <v>Lowland|600to700</v>
      </c>
      <c r="L130" s="44"/>
      <c r="M130" s="119"/>
      <c r="N130" s="47"/>
      <c r="O130" s="44"/>
      <c r="P130" s="112"/>
    </row>
    <row r="131" spans="2:16" ht="17.25" customHeight="1" x14ac:dyDescent="0.25">
      <c r="B131" s="122"/>
      <c r="C131" s="173" t="s">
        <v>242</v>
      </c>
      <c r="D131" s="173" t="s">
        <v>256</v>
      </c>
      <c r="E131" s="173" t="b">
        <v>1</v>
      </c>
      <c r="F131" s="173" t="s">
        <v>246</v>
      </c>
      <c r="G131" s="173" t="s">
        <v>248</v>
      </c>
      <c r="H131" s="34" t="str">
        <f t="shared" si="0"/>
        <v>Tees Lower and Estuary|Lowland|TRUE|600to700|DrainedArGr</v>
      </c>
      <c r="I131" s="47">
        <v>0.5671448070558589</v>
      </c>
      <c r="J131" s="119">
        <v>10.380452649896016</v>
      </c>
      <c r="K131" s="34" t="str">
        <f t="shared" si="1"/>
        <v>Lowland|600to700</v>
      </c>
      <c r="L131" s="44"/>
      <c r="M131" s="119"/>
      <c r="N131" s="47"/>
      <c r="O131" s="44"/>
      <c r="P131" s="112"/>
    </row>
    <row r="132" spans="2:16" ht="17.25" customHeight="1" x14ac:dyDescent="0.25">
      <c r="B132" s="122"/>
      <c r="C132" s="173" t="s">
        <v>242</v>
      </c>
      <c r="D132" s="173" t="s">
        <v>257</v>
      </c>
      <c r="E132" s="173" t="b">
        <v>0</v>
      </c>
      <c r="F132" s="173" t="s">
        <v>246</v>
      </c>
      <c r="G132" s="173" t="s">
        <v>247</v>
      </c>
      <c r="H132" s="34" t="str">
        <f t="shared" si="0"/>
        <v>Tees Lower and Estuary|Mixed|FALSE|600to700|FreeDrain</v>
      </c>
      <c r="I132" s="47">
        <v>8.0287612180805337E-2</v>
      </c>
      <c r="J132" s="119">
        <v>31.028944676434051</v>
      </c>
      <c r="K132" s="34" t="str">
        <f t="shared" si="1"/>
        <v>Mixed|600to700</v>
      </c>
      <c r="L132" s="44">
        <f>AVERAGE(I132:I134)</f>
        <v>0.32654841462227152</v>
      </c>
      <c r="M132" s="119">
        <f>AVERAGE(J132:J134)</f>
        <v>24.667202645308816</v>
      </c>
      <c r="N132" s="47">
        <f>AVERAGE(I132:I136,I191:I200,I223:I226,I249:I253,I276:I279,I315:I319)</f>
        <v>0.5752844119429732</v>
      </c>
      <c r="O132" s="44">
        <f>AVERAGE(J132:J136,J191:J200,J223:J226,J249:J253,J276:J279,J315:J319)</f>
        <v>25.021504191252355</v>
      </c>
      <c r="P132" s="112"/>
    </row>
    <row r="133" spans="2:16" ht="17.25" customHeight="1" x14ac:dyDescent="0.25">
      <c r="B133" s="122"/>
      <c r="C133" s="173" t="s">
        <v>242</v>
      </c>
      <c r="D133" s="173" t="s">
        <v>257</v>
      </c>
      <c r="E133" s="173" t="b">
        <v>1</v>
      </c>
      <c r="F133" s="173" t="s">
        <v>246</v>
      </c>
      <c r="G133" s="173" t="s">
        <v>245</v>
      </c>
      <c r="H133" s="34" t="str">
        <f t="shared" si="0"/>
        <v>Tees Lower and Estuary|Mixed|TRUE|600to700|DrainedAr</v>
      </c>
      <c r="I133" s="47">
        <v>0.25978227248381563</v>
      </c>
      <c r="J133" s="119">
        <v>21.498838783777746</v>
      </c>
      <c r="K133" s="34" t="str">
        <f t="shared" si="1"/>
        <v>Mixed|600to700</v>
      </c>
      <c r="L133" s="44"/>
      <c r="M133" s="44"/>
      <c r="N133" s="216"/>
      <c r="O133" s="216"/>
      <c r="P133" s="112"/>
    </row>
    <row r="134" spans="2:16" ht="17.25" customHeight="1" x14ac:dyDescent="0.25">
      <c r="B134" s="122"/>
      <c r="C134" s="173" t="s">
        <v>242</v>
      </c>
      <c r="D134" s="173" t="s">
        <v>257</v>
      </c>
      <c r="E134" s="173" t="b">
        <v>0</v>
      </c>
      <c r="F134" s="173" t="s">
        <v>246</v>
      </c>
      <c r="G134" s="173" t="s">
        <v>248</v>
      </c>
      <c r="H134" s="34" t="str">
        <f t="shared" si="0"/>
        <v>Tees Lower and Estuary|Mixed|FALSE|600to700|DrainedArGr</v>
      </c>
      <c r="I134" s="47">
        <v>0.63957535920219366</v>
      </c>
      <c r="J134" s="119">
        <v>21.473824475714654</v>
      </c>
      <c r="K134" s="34" t="str">
        <f t="shared" si="1"/>
        <v>Mixed|600to700</v>
      </c>
      <c r="L134" s="44"/>
      <c r="M134" s="44"/>
      <c r="N134" s="216"/>
      <c r="O134" s="216"/>
      <c r="P134" s="112"/>
    </row>
    <row r="135" spans="2:16" ht="17.25" customHeight="1" x14ac:dyDescent="0.25">
      <c r="B135" s="122"/>
      <c r="C135" s="173" t="s">
        <v>242</v>
      </c>
      <c r="D135" s="173" t="s">
        <v>257</v>
      </c>
      <c r="E135" s="173" t="b">
        <v>1</v>
      </c>
      <c r="F135" s="173" t="s">
        <v>246</v>
      </c>
      <c r="G135" s="173" t="s">
        <v>248</v>
      </c>
      <c r="H135" s="34" t="str">
        <f t="shared" si="0"/>
        <v>Tees Lower and Estuary|Mixed|TRUE|600to700|DrainedArGr</v>
      </c>
      <c r="I135" s="47">
        <v>0.63542176379465432</v>
      </c>
      <c r="J135" s="119">
        <v>21.067699838398244</v>
      </c>
      <c r="K135" s="34" t="str">
        <f t="shared" si="1"/>
        <v>Mixed|600to700</v>
      </c>
      <c r="L135" s="44"/>
      <c r="M135" s="44"/>
      <c r="N135" s="216"/>
      <c r="O135" s="216"/>
      <c r="P135" s="112"/>
    </row>
    <row r="136" spans="2:16" ht="17.25" customHeight="1" x14ac:dyDescent="0.25">
      <c r="B136" s="122"/>
      <c r="C136" s="173" t="s">
        <v>242</v>
      </c>
      <c r="D136" s="173" t="s">
        <v>257</v>
      </c>
      <c r="E136" s="173" t="b">
        <v>0</v>
      </c>
      <c r="F136" s="173" t="s">
        <v>249</v>
      </c>
      <c r="G136" s="173" t="s">
        <v>248</v>
      </c>
      <c r="H136" s="34" t="str">
        <f t="shared" si="0"/>
        <v>Tees Lower and Estuary|Mixed|FALSE|700to900|DrainedArGr</v>
      </c>
      <c r="I136" s="47">
        <v>1.0536990025613739</v>
      </c>
      <c r="J136" s="119">
        <v>24.29182896749624</v>
      </c>
      <c r="K136" s="34" t="str">
        <f t="shared" si="1"/>
        <v>Mixed|700to900</v>
      </c>
      <c r="L136" s="44">
        <f>AVERAGE(I136,I426,I429,)</f>
        <v>0.41470079664024989</v>
      </c>
      <c r="M136" s="44">
        <f>AVERAGE(J136,J426,J429,)</f>
        <v>19.660418227417509</v>
      </c>
      <c r="N136" s="216"/>
      <c r="O136" s="216"/>
      <c r="P136" s="112"/>
    </row>
    <row r="137" spans="2:16" ht="17.25" customHeight="1" x14ac:dyDescent="0.25">
      <c r="B137" s="122"/>
      <c r="C137" s="173" t="s">
        <v>258</v>
      </c>
      <c r="D137" s="173" t="s">
        <v>243</v>
      </c>
      <c r="E137" s="173" t="b">
        <v>0</v>
      </c>
      <c r="F137" s="173" t="s">
        <v>246</v>
      </c>
      <c r="G137" s="173" t="s">
        <v>247</v>
      </c>
      <c r="H137" s="34" t="str">
        <f t="shared" si="0"/>
        <v>Tees Middle|Cereals|FALSE|600to700|FreeDrain</v>
      </c>
      <c r="I137" s="47">
        <v>5.5425592605293783E-2</v>
      </c>
      <c r="J137" s="119">
        <v>25.700326761741987</v>
      </c>
      <c r="K137" s="34" t="str">
        <f t="shared" si="1"/>
        <v>Cereals|600to700</v>
      </c>
      <c r="L137" s="44">
        <f>AVERAGE(I137,I139,I140)</f>
        <v>0.28285655668377513</v>
      </c>
      <c r="M137" s="44">
        <f>AVERAGE(J137,J139,J140)</f>
        <v>21.796027649477448</v>
      </c>
      <c r="N137" s="216"/>
      <c r="O137" s="216"/>
      <c r="P137" s="112"/>
    </row>
    <row r="138" spans="2:16" ht="17.25" customHeight="1" x14ac:dyDescent="0.25">
      <c r="B138" s="122"/>
      <c r="C138" s="173" t="s">
        <v>258</v>
      </c>
      <c r="D138" s="173" t="s">
        <v>243</v>
      </c>
      <c r="E138" s="173" t="b">
        <v>1</v>
      </c>
      <c r="F138" s="173" t="s">
        <v>246</v>
      </c>
      <c r="G138" s="173" t="s">
        <v>247</v>
      </c>
      <c r="H138" s="34" t="str">
        <f t="shared" si="0"/>
        <v>Tees Middle|Cereals|TRUE|600to700|FreeDrain</v>
      </c>
      <c r="I138" s="47">
        <v>5.5417944342838421E-2</v>
      </c>
      <c r="J138" s="119">
        <v>25.611477985196125</v>
      </c>
      <c r="K138" s="34" t="str">
        <f t="shared" si="1"/>
        <v>Cereals|600to700</v>
      </c>
      <c r="L138" s="44"/>
      <c r="M138" s="44"/>
      <c r="N138" s="216"/>
      <c r="O138" s="216"/>
      <c r="P138" s="112"/>
    </row>
    <row r="139" spans="2:16" ht="17.25" customHeight="1" x14ac:dyDescent="0.25">
      <c r="B139" s="122"/>
      <c r="C139" s="173" t="s">
        <v>258</v>
      </c>
      <c r="D139" s="173" t="s">
        <v>243</v>
      </c>
      <c r="E139" s="173" t="b">
        <v>0</v>
      </c>
      <c r="F139" s="173" t="s">
        <v>246</v>
      </c>
      <c r="G139" s="173" t="s">
        <v>245</v>
      </c>
      <c r="H139" s="34" t="str">
        <f t="shared" si="0"/>
        <v>Tees Middle|Cereals|FALSE|600to700|DrainedAr</v>
      </c>
      <c r="I139" s="47">
        <v>0.29406953881996578</v>
      </c>
      <c r="J139" s="119">
        <v>19.098935107801339</v>
      </c>
      <c r="K139" s="34" t="str">
        <f t="shared" si="1"/>
        <v>Cereals|600to700</v>
      </c>
      <c r="L139" s="44"/>
      <c r="M139" s="44"/>
      <c r="N139" s="216"/>
      <c r="O139" s="216"/>
      <c r="P139" s="112"/>
    </row>
    <row r="140" spans="2:16" ht="17.25" customHeight="1" x14ac:dyDescent="0.25">
      <c r="B140" s="122"/>
      <c r="C140" s="173" t="s">
        <v>258</v>
      </c>
      <c r="D140" s="173" t="s">
        <v>243</v>
      </c>
      <c r="E140" s="173" t="b">
        <v>0</v>
      </c>
      <c r="F140" s="173" t="s">
        <v>246</v>
      </c>
      <c r="G140" s="173" t="s">
        <v>248</v>
      </c>
      <c r="H140" s="34" t="str">
        <f t="shared" si="0"/>
        <v>Tees Middle|Cereals|FALSE|600to700|DrainedArGr</v>
      </c>
      <c r="I140" s="47">
        <v>0.49907453862606577</v>
      </c>
      <c r="J140" s="119">
        <v>20.588821078889016</v>
      </c>
      <c r="K140" s="34" t="str">
        <f t="shared" si="1"/>
        <v>Cereals|600to700</v>
      </c>
      <c r="L140" s="44"/>
      <c r="M140" s="44"/>
      <c r="N140" s="216"/>
      <c r="O140" s="216"/>
      <c r="P140" s="112"/>
    </row>
    <row r="141" spans="2:16" ht="17.25" customHeight="1" x14ac:dyDescent="0.25">
      <c r="B141" s="122"/>
      <c r="C141" s="173" t="s">
        <v>258</v>
      </c>
      <c r="D141" s="173" t="s">
        <v>243</v>
      </c>
      <c r="E141" s="173" t="b">
        <v>1</v>
      </c>
      <c r="F141" s="173" t="s">
        <v>246</v>
      </c>
      <c r="G141" s="173" t="s">
        <v>248</v>
      </c>
      <c r="H141" s="34" t="str">
        <f t="shared" si="0"/>
        <v>Tees Middle|Cereals|TRUE|600to700|DrainedArGr</v>
      </c>
      <c r="I141" s="47">
        <v>0.49897662090046341</v>
      </c>
      <c r="J141" s="119">
        <v>20.527384460037677</v>
      </c>
      <c r="K141" s="34" t="str">
        <f t="shared" si="1"/>
        <v>Cereals|600to700</v>
      </c>
      <c r="L141" s="44"/>
      <c r="M141" s="44"/>
      <c r="N141" s="216"/>
      <c r="O141" s="216"/>
      <c r="P141" s="112"/>
    </row>
    <row r="142" spans="2:16" ht="17.25" customHeight="1" x14ac:dyDescent="0.25">
      <c r="B142" s="122"/>
      <c r="C142" s="173" t="s">
        <v>258</v>
      </c>
      <c r="D142" s="173" t="s">
        <v>243</v>
      </c>
      <c r="E142" s="173" t="b">
        <v>0</v>
      </c>
      <c r="F142" s="173" t="s">
        <v>249</v>
      </c>
      <c r="G142" s="173" t="s">
        <v>247</v>
      </c>
      <c r="H142" s="34" t="str">
        <f t="shared" si="0"/>
        <v>Tees Middle|Cereals|FALSE|700to900|FreeDrain</v>
      </c>
      <c r="I142" s="47">
        <v>0.14982757078442493</v>
      </c>
      <c r="J142" s="119">
        <v>30.938605966128016</v>
      </c>
      <c r="K142" s="34" t="str">
        <f t="shared" si="1"/>
        <v>Cereals|700to900</v>
      </c>
      <c r="L142" s="44">
        <f>AVERAGE(I142,I144,I146)</f>
        <v>0.55731877811656538</v>
      </c>
      <c r="M142" s="44">
        <f>AVERAGE(J142,J144,J146)</f>
        <v>25.9234712453116</v>
      </c>
      <c r="N142" s="216"/>
      <c r="O142" s="216"/>
      <c r="P142" s="112"/>
    </row>
    <row r="143" spans="2:16" ht="17.25" customHeight="1" x14ac:dyDescent="0.25">
      <c r="B143" s="122"/>
      <c r="C143" s="173" t="s">
        <v>258</v>
      </c>
      <c r="D143" s="173" t="s">
        <v>243</v>
      </c>
      <c r="E143" s="173" t="b">
        <v>1</v>
      </c>
      <c r="F143" s="173" t="s">
        <v>249</v>
      </c>
      <c r="G143" s="173" t="s">
        <v>247</v>
      </c>
      <c r="H143" s="34" t="str">
        <f t="shared" si="0"/>
        <v>Tees Middle|Cereals|TRUE|700to900|FreeDrain</v>
      </c>
      <c r="I143" s="47">
        <v>0.14981322858355792</v>
      </c>
      <c r="J143" s="119">
        <v>30.833014706314437</v>
      </c>
      <c r="K143" s="34" t="str">
        <f t="shared" si="1"/>
        <v>Cereals|700to900</v>
      </c>
      <c r="L143" s="44"/>
      <c r="M143" s="44"/>
      <c r="N143" s="216"/>
      <c r="O143" s="216"/>
      <c r="P143" s="112"/>
    </row>
    <row r="144" spans="2:16" ht="17.25" customHeight="1" x14ac:dyDescent="0.25">
      <c r="B144" s="122"/>
      <c r="C144" s="173" t="s">
        <v>258</v>
      </c>
      <c r="D144" s="173" t="s">
        <v>243</v>
      </c>
      <c r="E144" s="173" t="b">
        <v>0</v>
      </c>
      <c r="F144" s="173" t="s">
        <v>249</v>
      </c>
      <c r="G144" s="173" t="s">
        <v>245</v>
      </c>
      <c r="H144" s="34" t="str">
        <f t="shared" si="0"/>
        <v>Tees Middle|Cereals|FALSE|700to900|DrainedAr</v>
      </c>
      <c r="I144" s="47">
        <v>0.6361789064166784</v>
      </c>
      <c r="J144" s="119">
        <v>24.052913669110087</v>
      </c>
      <c r="K144" s="34" t="str">
        <f t="shared" si="1"/>
        <v>Cereals|700to900</v>
      </c>
      <c r="L144" s="44"/>
      <c r="M144" s="44"/>
      <c r="N144" s="216"/>
      <c r="O144" s="216"/>
      <c r="P144" s="112"/>
    </row>
    <row r="145" spans="2:16" ht="17.25" customHeight="1" x14ac:dyDescent="0.25">
      <c r="B145" s="122"/>
      <c r="C145" s="173" t="s">
        <v>258</v>
      </c>
      <c r="D145" s="173" t="s">
        <v>243</v>
      </c>
      <c r="E145" s="173" t="b">
        <v>1</v>
      </c>
      <c r="F145" s="173" t="s">
        <v>249</v>
      </c>
      <c r="G145" s="173" t="s">
        <v>245</v>
      </c>
      <c r="H145" s="34" t="str">
        <f t="shared" si="0"/>
        <v>Tees Middle|Cereals|TRUE|700to900|DrainedAr</v>
      </c>
      <c r="I145" s="47">
        <v>0.63612427052832499</v>
      </c>
      <c r="J145" s="119">
        <v>23.97723124159754</v>
      </c>
      <c r="K145" s="34" t="str">
        <f t="shared" si="1"/>
        <v>Cereals|700to900</v>
      </c>
      <c r="L145" s="44"/>
      <c r="M145" s="44"/>
      <c r="N145" s="216"/>
      <c r="O145" s="216"/>
      <c r="P145" s="112"/>
    </row>
    <row r="146" spans="2:16" ht="17.25" customHeight="1" x14ac:dyDescent="0.25">
      <c r="B146" s="122"/>
      <c r="C146" s="173" t="s">
        <v>258</v>
      </c>
      <c r="D146" s="173" t="s">
        <v>243</v>
      </c>
      <c r="E146" s="173" t="b">
        <v>0</v>
      </c>
      <c r="F146" s="173" t="s">
        <v>249</v>
      </c>
      <c r="G146" s="173" t="s">
        <v>248</v>
      </c>
      <c r="H146" s="34" t="str">
        <f t="shared" si="0"/>
        <v>Tees Middle|Cereals|FALSE|700to900|DrainedArGr</v>
      </c>
      <c r="I146" s="47">
        <v>0.88594985714859287</v>
      </c>
      <c r="J146" s="119">
        <v>22.778894100696693</v>
      </c>
      <c r="K146" s="34" t="str">
        <f t="shared" si="1"/>
        <v>Cereals|700to900</v>
      </c>
      <c r="L146" s="44"/>
      <c r="M146" s="44"/>
      <c r="N146" s="216"/>
      <c r="O146" s="216"/>
      <c r="P146" s="112"/>
    </row>
    <row r="147" spans="2:16" ht="17.25" customHeight="1" x14ac:dyDescent="0.25">
      <c r="B147" s="122"/>
      <c r="C147" s="173" t="s">
        <v>258</v>
      </c>
      <c r="D147" s="173" t="s">
        <v>243</v>
      </c>
      <c r="E147" s="173" t="b">
        <v>1</v>
      </c>
      <c r="F147" s="173" t="s">
        <v>249</v>
      </c>
      <c r="G147" s="173" t="s">
        <v>248</v>
      </c>
      <c r="H147" s="34" t="str">
        <f t="shared" si="0"/>
        <v>Tees Middle|Cereals|TRUE|700to900|DrainedArGr</v>
      </c>
      <c r="I147" s="47">
        <v>0.88581023050319518</v>
      </c>
      <c r="J147" s="119">
        <v>22.715361353633131</v>
      </c>
      <c r="K147" s="34" t="str">
        <f t="shared" si="1"/>
        <v>Cereals|700to900</v>
      </c>
      <c r="L147" s="44"/>
      <c r="M147" s="44"/>
      <c r="N147" s="216"/>
      <c r="O147" s="216"/>
      <c r="P147" s="112"/>
    </row>
    <row r="148" spans="2:16" ht="17.25" customHeight="1" x14ac:dyDescent="0.25">
      <c r="B148" s="122"/>
      <c r="C148" s="173" t="s">
        <v>258</v>
      </c>
      <c r="D148" s="173" t="s">
        <v>243</v>
      </c>
      <c r="E148" s="173" t="b">
        <v>0</v>
      </c>
      <c r="F148" s="173" t="s">
        <v>259</v>
      </c>
      <c r="G148" s="173" t="s">
        <v>247</v>
      </c>
      <c r="H148" s="34" t="str">
        <f t="shared" si="0"/>
        <v>Tees Middle|Cereals|FALSE|900to1200|FreeDrain</v>
      </c>
      <c r="I148" s="47">
        <v>0.25541599000532778</v>
      </c>
      <c r="J148" s="119">
        <v>32.834395450172721</v>
      </c>
      <c r="K148" s="34" t="str">
        <f t="shared" si="1"/>
        <v>Cereals|900to1200</v>
      </c>
      <c r="L148" s="44">
        <f>AVERAGE(I148,I334)</f>
        <v>0.87220761695835436</v>
      </c>
      <c r="M148" s="44">
        <f>AVERAGE(J148,J334)</f>
        <v>28.996898689646969</v>
      </c>
      <c r="N148" s="216"/>
      <c r="O148" s="216"/>
      <c r="P148" s="112"/>
    </row>
    <row r="149" spans="2:16" ht="17.25" customHeight="1" x14ac:dyDescent="0.25">
      <c r="B149" s="122"/>
      <c r="C149" s="173" t="s">
        <v>258</v>
      </c>
      <c r="D149" s="173" t="s">
        <v>250</v>
      </c>
      <c r="E149" s="173" t="b">
        <v>0</v>
      </c>
      <c r="F149" s="173" t="s">
        <v>246</v>
      </c>
      <c r="G149" s="173" t="s">
        <v>247</v>
      </c>
      <c r="H149" s="34" t="str">
        <f t="shared" si="0"/>
        <v>Tees Middle|General|FALSE|600to700|FreeDrain</v>
      </c>
      <c r="I149" s="47">
        <v>4.6330143684297734E-2</v>
      </c>
      <c r="J149" s="119">
        <v>21.832633883550894</v>
      </c>
      <c r="K149" s="34" t="str">
        <f t="shared" si="1"/>
        <v>General|600to700</v>
      </c>
      <c r="L149" s="44">
        <f>AVERAGE(I149,I151,I337)</f>
        <v>0.22275777876347139</v>
      </c>
      <c r="M149" s="44">
        <f>AVERAGE(J149,J151,J337)</f>
        <v>16.849201510619867</v>
      </c>
      <c r="N149" s="216"/>
      <c r="O149" s="216"/>
      <c r="P149" s="112"/>
    </row>
    <row r="150" spans="2:16" ht="17.25" customHeight="1" x14ac:dyDescent="0.25">
      <c r="B150" s="122"/>
      <c r="C150" s="173" t="s">
        <v>258</v>
      </c>
      <c r="D150" s="173" t="s">
        <v>250</v>
      </c>
      <c r="E150" s="173" t="b">
        <v>1</v>
      </c>
      <c r="F150" s="173" t="s">
        <v>246</v>
      </c>
      <c r="G150" s="173" t="s">
        <v>247</v>
      </c>
      <c r="H150" s="34" t="str">
        <f t="shared" si="0"/>
        <v>Tees Middle|General|TRUE|600to700|FreeDrain</v>
      </c>
      <c r="I150" s="47">
        <v>4.6330143684297734E-2</v>
      </c>
      <c r="J150" s="119">
        <v>21.769537292366557</v>
      </c>
      <c r="K150" s="34" t="str">
        <f t="shared" si="1"/>
        <v>General|600to700</v>
      </c>
      <c r="L150" s="44"/>
      <c r="M150" s="44"/>
      <c r="N150" s="216"/>
      <c r="O150" s="216"/>
      <c r="P150" s="112"/>
    </row>
    <row r="151" spans="2:16" ht="17.25" customHeight="1" x14ac:dyDescent="0.25">
      <c r="B151" s="122"/>
      <c r="C151" s="173" t="s">
        <v>258</v>
      </c>
      <c r="D151" s="173" t="s">
        <v>250</v>
      </c>
      <c r="E151" s="173" t="b">
        <v>0</v>
      </c>
      <c r="F151" s="173" t="s">
        <v>246</v>
      </c>
      <c r="G151" s="173" t="s">
        <v>248</v>
      </c>
      <c r="H151" s="34" t="str">
        <f t="shared" si="0"/>
        <v>Tees Middle|General|FALSE|600to700|DrainedArGr</v>
      </c>
      <c r="I151" s="47">
        <v>0.42342464041883515</v>
      </c>
      <c r="J151" s="119">
        <v>16.006890318649262</v>
      </c>
      <c r="K151" s="34" t="str">
        <f t="shared" si="1"/>
        <v>General|600to700</v>
      </c>
      <c r="L151" s="44"/>
      <c r="M151" s="44"/>
      <c r="N151" s="216"/>
      <c r="O151" s="216"/>
      <c r="P151" s="112"/>
    </row>
    <row r="152" spans="2:16" ht="17.25" customHeight="1" x14ac:dyDescent="0.25">
      <c r="B152" s="122"/>
      <c r="C152" s="173" t="s">
        <v>258</v>
      </c>
      <c r="D152" s="173" t="s">
        <v>250</v>
      </c>
      <c r="E152" s="173" t="b">
        <v>1</v>
      </c>
      <c r="F152" s="173" t="s">
        <v>246</v>
      </c>
      <c r="G152" s="173" t="s">
        <v>248</v>
      </c>
      <c r="H152" s="34" t="str">
        <f t="shared" si="0"/>
        <v>Tees Middle|General|TRUE|600to700|DrainedArGr</v>
      </c>
      <c r="I152" s="47">
        <v>0.42342464041883515</v>
      </c>
      <c r="J152" s="119">
        <v>15.967761913998235</v>
      </c>
      <c r="K152" s="34" t="str">
        <f t="shared" si="1"/>
        <v>General|600to700</v>
      </c>
      <c r="L152" s="44"/>
      <c r="M152" s="44"/>
      <c r="N152" s="216"/>
      <c r="O152" s="216"/>
      <c r="P152" s="112"/>
    </row>
    <row r="153" spans="2:16" ht="17.25" customHeight="1" x14ac:dyDescent="0.25">
      <c r="B153" s="122"/>
      <c r="C153" s="173" t="s">
        <v>258</v>
      </c>
      <c r="D153" s="173" t="s">
        <v>250</v>
      </c>
      <c r="E153" s="173" t="b">
        <v>0</v>
      </c>
      <c r="F153" s="173" t="s">
        <v>249</v>
      </c>
      <c r="G153" s="173" t="s">
        <v>247</v>
      </c>
      <c r="H153" s="34" t="str">
        <f t="shared" si="0"/>
        <v>Tees Middle|General|FALSE|700to900|FreeDrain</v>
      </c>
      <c r="I153" s="47">
        <v>0.12161090011716746</v>
      </c>
      <c r="J153" s="119">
        <v>26.147223639729596</v>
      </c>
      <c r="K153" s="34" t="str">
        <f t="shared" si="1"/>
        <v>General|700to900</v>
      </c>
      <c r="L153" s="44">
        <f>AVERAGE(I153,I155,I156)</f>
        <v>0.44019456620724196</v>
      </c>
      <c r="M153" s="44">
        <f>AVERAGE(J153,J155,J156)</f>
        <v>20.962320193671854</v>
      </c>
      <c r="N153" s="216"/>
      <c r="O153" s="216"/>
      <c r="P153" s="112"/>
    </row>
    <row r="154" spans="2:16" ht="17.25" customHeight="1" x14ac:dyDescent="0.25">
      <c r="B154" s="122"/>
      <c r="C154" s="173" t="s">
        <v>258</v>
      </c>
      <c r="D154" s="173" t="s">
        <v>250</v>
      </c>
      <c r="E154" s="173" t="b">
        <v>1</v>
      </c>
      <c r="F154" s="173" t="s">
        <v>249</v>
      </c>
      <c r="G154" s="173" t="s">
        <v>247</v>
      </c>
      <c r="H154" s="34" t="str">
        <f t="shared" si="0"/>
        <v>Tees Middle|General|TRUE|700to900|FreeDrain</v>
      </c>
      <c r="I154" s="47">
        <v>0.12161090011716746</v>
      </c>
      <c r="J154" s="119">
        <v>26.072857744667893</v>
      </c>
      <c r="K154" s="34" t="str">
        <f t="shared" si="1"/>
        <v>General|700to900</v>
      </c>
      <c r="L154" s="44"/>
      <c r="M154" s="44"/>
      <c r="N154" s="216"/>
      <c r="O154" s="216"/>
      <c r="P154" s="112"/>
    </row>
    <row r="155" spans="2:16" ht="17.25" customHeight="1" x14ac:dyDescent="0.25">
      <c r="B155" s="122"/>
      <c r="C155" s="173" t="s">
        <v>258</v>
      </c>
      <c r="D155" s="173" t="s">
        <v>250</v>
      </c>
      <c r="E155" s="173" t="b">
        <v>0</v>
      </c>
      <c r="F155" s="173" t="s">
        <v>249</v>
      </c>
      <c r="G155" s="173" t="s">
        <v>245</v>
      </c>
      <c r="H155" s="34" t="str">
        <f t="shared" si="0"/>
        <v>Tees Middle|General|FALSE|700to900|DrainedAr</v>
      </c>
      <c r="I155" s="47">
        <v>0.46328333378747932</v>
      </c>
      <c r="J155" s="119">
        <v>19.34970915690387</v>
      </c>
      <c r="K155" s="34" t="str">
        <f t="shared" si="1"/>
        <v>General|700to900</v>
      </c>
      <c r="L155" s="44"/>
      <c r="M155" s="44"/>
      <c r="N155" s="216"/>
      <c r="O155" s="216"/>
      <c r="P155" s="112"/>
    </row>
    <row r="156" spans="2:16" ht="17.25" customHeight="1" x14ac:dyDescent="0.25">
      <c r="B156" s="122"/>
      <c r="C156" s="173" t="s">
        <v>258</v>
      </c>
      <c r="D156" s="173" t="s">
        <v>250</v>
      </c>
      <c r="E156" s="173" t="b">
        <v>0</v>
      </c>
      <c r="F156" s="173" t="s">
        <v>249</v>
      </c>
      <c r="G156" s="173" t="s">
        <v>248</v>
      </c>
      <c r="H156" s="34" t="str">
        <f t="shared" si="0"/>
        <v>Tees Middle|General|FALSE|700to900|DrainedArGr</v>
      </c>
      <c r="I156" s="47">
        <v>0.73568946471707919</v>
      </c>
      <c r="J156" s="119">
        <v>17.390027784382095</v>
      </c>
      <c r="K156" s="34" t="str">
        <f t="shared" si="1"/>
        <v>General|700to900</v>
      </c>
      <c r="L156" s="44"/>
      <c r="M156" s="44"/>
      <c r="N156" s="216"/>
      <c r="O156" s="216"/>
      <c r="P156" s="112"/>
    </row>
    <row r="157" spans="2:16" ht="17.25" customHeight="1" x14ac:dyDescent="0.25">
      <c r="B157" s="122"/>
      <c r="C157" s="173" t="s">
        <v>258</v>
      </c>
      <c r="D157" s="173" t="s">
        <v>250</v>
      </c>
      <c r="E157" s="173" t="b">
        <v>1</v>
      </c>
      <c r="F157" s="173" t="s">
        <v>249</v>
      </c>
      <c r="G157" s="173" t="s">
        <v>248</v>
      </c>
      <c r="H157" s="34" t="str">
        <f t="shared" si="0"/>
        <v>Tees Middle|General|TRUE|700to900|DrainedArGr</v>
      </c>
      <c r="I157" s="47">
        <v>0.73568946471707919</v>
      </c>
      <c r="J157" s="119">
        <v>17.35077702320449</v>
      </c>
      <c r="K157" s="34" t="str">
        <f t="shared" si="1"/>
        <v>General|700to900</v>
      </c>
      <c r="L157" s="44"/>
      <c r="M157" s="44"/>
      <c r="N157" s="216"/>
      <c r="O157" s="216"/>
      <c r="P157" s="112"/>
    </row>
    <row r="158" spans="2:16" ht="17.25" customHeight="1" x14ac:dyDescent="0.25">
      <c r="B158" s="122"/>
      <c r="C158" s="173" t="s">
        <v>258</v>
      </c>
      <c r="D158" s="173" t="s">
        <v>250</v>
      </c>
      <c r="E158" s="173" t="b">
        <v>0</v>
      </c>
      <c r="F158" s="173" t="s">
        <v>259</v>
      </c>
      <c r="G158" s="173" t="s">
        <v>247</v>
      </c>
      <c r="H158" s="34" t="str">
        <f t="shared" si="0"/>
        <v>Tees Middle|General|FALSE|900to1200|FreeDrain</v>
      </c>
      <c r="I158" s="47">
        <v>0.21416038413818231</v>
      </c>
      <c r="J158" s="119">
        <v>27.71382839389257</v>
      </c>
      <c r="K158" s="34" t="str">
        <f t="shared" si="1"/>
        <v>General|900to1200</v>
      </c>
      <c r="L158" s="44">
        <f>AVERAGE(I158:I159,I347)</f>
        <v>0.74731914146494838</v>
      </c>
      <c r="M158" s="44">
        <f>AVERAGE(J158:J159,J347)</f>
        <v>22.580423687713434</v>
      </c>
      <c r="N158" s="216"/>
      <c r="O158" s="216"/>
      <c r="P158" s="112"/>
    </row>
    <row r="159" spans="2:16" ht="17.25" customHeight="1" x14ac:dyDescent="0.25">
      <c r="B159" s="122"/>
      <c r="C159" s="173" t="s">
        <v>258</v>
      </c>
      <c r="D159" s="173" t="s">
        <v>250</v>
      </c>
      <c r="E159" s="173" t="b">
        <v>0</v>
      </c>
      <c r="F159" s="173" t="s">
        <v>259</v>
      </c>
      <c r="G159" s="173" t="s">
        <v>248</v>
      </c>
      <c r="H159" s="34" t="str">
        <f t="shared" si="0"/>
        <v>Tees Middle|General|FALSE|900to1200|DrainedArGr</v>
      </c>
      <c r="I159" s="47">
        <v>1.227302642771416</v>
      </c>
      <c r="J159" s="119">
        <v>19.759915395492055</v>
      </c>
      <c r="K159" s="34" t="str">
        <f t="shared" si="1"/>
        <v>General|900to1200</v>
      </c>
      <c r="L159" s="44"/>
      <c r="M159" s="44"/>
      <c r="N159" s="216"/>
      <c r="O159" s="216"/>
      <c r="P159" s="112"/>
    </row>
    <row r="160" spans="2:16" ht="17.25" customHeight="1" x14ac:dyDescent="0.25">
      <c r="B160" s="122"/>
      <c r="C160" s="173" t="s">
        <v>258</v>
      </c>
      <c r="D160" s="173" t="s">
        <v>252</v>
      </c>
      <c r="E160" s="173" t="b">
        <v>0</v>
      </c>
      <c r="F160" s="173" t="s">
        <v>246</v>
      </c>
      <c r="G160" s="173" t="s">
        <v>247</v>
      </c>
      <c r="H160" s="34" t="str">
        <f t="shared" si="0"/>
        <v>Tees Middle|Pig|FALSE|600to700|FreeDrain</v>
      </c>
      <c r="I160" s="47">
        <v>7.0233477219920404E-2</v>
      </c>
      <c r="J160" s="119">
        <v>79.175007504546997</v>
      </c>
      <c r="K160" s="34" t="str">
        <f t="shared" si="1"/>
        <v>Pig|600to700</v>
      </c>
      <c r="L160" s="44">
        <f>AVERAGE(I357,I160:I161)</f>
        <v>0.3223306335503982</v>
      </c>
      <c r="M160" s="44">
        <f>AVERAGE(J357,J160:J161)</f>
        <v>67.547098413147694</v>
      </c>
      <c r="N160" s="216"/>
      <c r="O160" s="216"/>
      <c r="P160" s="112"/>
    </row>
    <row r="161" spans="2:16" ht="17.25" customHeight="1" x14ac:dyDescent="0.25">
      <c r="B161" s="122"/>
      <c r="C161" s="173" t="s">
        <v>258</v>
      </c>
      <c r="D161" s="173" t="s">
        <v>252</v>
      </c>
      <c r="E161" s="173" t="b">
        <v>0</v>
      </c>
      <c r="F161" s="173" t="s">
        <v>246</v>
      </c>
      <c r="G161" s="173" t="s">
        <v>248</v>
      </c>
      <c r="H161" s="34" t="str">
        <f t="shared" si="0"/>
        <v>Tees Middle|Pig|FALSE|600to700|DrainedArGr</v>
      </c>
      <c r="I161" s="47">
        <v>0.5815792849327599</v>
      </c>
      <c r="J161" s="119">
        <v>50.073957190422156</v>
      </c>
      <c r="K161" s="34" t="str">
        <f t="shared" si="1"/>
        <v>Pig|600to700</v>
      </c>
      <c r="L161" s="44"/>
      <c r="M161" s="44"/>
      <c r="N161" s="216"/>
      <c r="O161" s="216"/>
      <c r="P161" s="112"/>
    </row>
    <row r="162" spans="2:16" ht="17.25" customHeight="1" x14ac:dyDescent="0.25">
      <c r="B162" s="122"/>
      <c r="C162" s="173" t="s">
        <v>258</v>
      </c>
      <c r="D162" s="173" t="s">
        <v>252</v>
      </c>
      <c r="E162" s="173" t="b">
        <v>1</v>
      </c>
      <c r="F162" s="173" t="s">
        <v>246</v>
      </c>
      <c r="G162" s="173" t="s">
        <v>248</v>
      </c>
      <c r="H162" s="34" t="str">
        <f t="shared" si="0"/>
        <v>Tees Middle|Pig|TRUE|600to700|DrainedArGr</v>
      </c>
      <c r="I162" s="47">
        <v>0.56290085344933039</v>
      </c>
      <c r="J162" s="119">
        <v>47.269545143395391</v>
      </c>
      <c r="K162" s="34" t="str">
        <f t="shared" si="1"/>
        <v>Pig|600to700</v>
      </c>
      <c r="L162" s="44"/>
      <c r="M162" s="44"/>
      <c r="N162" s="216"/>
      <c r="O162" s="216"/>
      <c r="P162" s="112"/>
    </row>
    <row r="163" spans="2:16" ht="17.25" customHeight="1" x14ac:dyDescent="0.25">
      <c r="B163" s="122"/>
      <c r="C163" s="173" t="s">
        <v>258</v>
      </c>
      <c r="D163" s="173" t="s">
        <v>252</v>
      </c>
      <c r="E163" s="173" t="b">
        <v>0</v>
      </c>
      <c r="F163" s="173" t="s">
        <v>249</v>
      </c>
      <c r="G163" s="173" t="s">
        <v>247</v>
      </c>
      <c r="H163" s="34" t="str">
        <f t="shared" ref="H163:H226" si="2">C163&amp;"|"&amp;D163&amp;"|"&amp;E163&amp;"|"&amp;F163&amp;"|"&amp;G163</f>
        <v>Tees Middle|Pig|FALSE|700to900|FreeDrain</v>
      </c>
      <c r="I163" s="47">
        <v>0.17161829147398827</v>
      </c>
      <c r="J163" s="119">
        <v>93.728853424056922</v>
      </c>
      <c r="K163" s="34" t="str">
        <f t="shared" ref="K163:K226" si="3">D163&amp;"|"&amp;F163</f>
        <v>Pig|700to900</v>
      </c>
      <c r="L163" s="44">
        <f>AVERAGE(I163,I165,I362)</f>
        <v>0.5923410772561476</v>
      </c>
      <c r="M163" s="44">
        <f>AVERAGE(J163,J165,J362)</f>
        <v>80.227786251094912</v>
      </c>
      <c r="N163" s="216"/>
      <c r="O163" s="216"/>
      <c r="P163" s="112"/>
    </row>
    <row r="164" spans="2:16" ht="17.25" customHeight="1" x14ac:dyDescent="0.25">
      <c r="B164" s="122"/>
      <c r="C164" s="173" t="s">
        <v>258</v>
      </c>
      <c r="D164" s="173" t="s">
        <v>252</v>
      </c>
      <c r="E164" s="173" t="b">
        <v>1</v>
      </c>
      <c r="F164" s="173" t="s">
        <v>249</v>
      </c>
      <c r="G164" s="173" t="s">
        <v>247</v>
      </c>
      <c r="H164" s="34" t="str">
        <f t="shared" si="2"/>
        <v>Tees Middle|Pig|TRUE|700to900|FreeDrain</v>
      </c>
      <c r="I164" s="47">
        <v>0.16867243447405458</v>
      </c>
      <c r="J164" s="119">
        <v>94.25784690927955</v>
      </c>
      <c r="K164" s="34" t="str">
        <f t="shared" si="3"/>
        <v>Pig|700to900</v>
      </c>
      <c r="L164" s="44"/>
      <c r="M164" s="44"/>
      <c r="N164" s="216"/>
      <c r="O164" s="216"/>
      <c r="P164" s="112"/>
    </row>
    <row r="165" spans="2:16" ht="17.25" customHeight="1" x14ac:dyDescent="0.25">
      <c r="B165" s="122"/>
      <c r="C165" s="173" t="s">
        <v>258</v>
      </c>
      <c r="D165" s="173" t="s">
        <v>252</v>
      </c>
      <c r="E165" s="173" t="b">
        <v>0</v>
      </c>
      <c r="F165" s="173" t="s">
        <v>249</v>
      </c>
      <c r="G165" s="173" t="s">
        <v>248</v>
      </c>
      <c r="H165" s="34" t="str">
        <f t="shared" si="2"/>
        <v>Tees Middle|Pig|FALSE|700to900|DrainedArGr</v>
      </c>
      <c r="I165" s="47">
        <v>0.9707514931077732</v>
      </c>
      <c r="J165" s="119">
        <v>55.088332309740025</v>
      </c>
      <c r="K165" s="34" t="str">
        <f t="shared" si="3"/>
        <v>Pig|700to900</v>
      </c>
      <c r="L165" s="44"/>
      <c r="M165" s="44"/>
      <c r="N165" s="216"/>
      <c r="O165" s="216"/>
      <c r="P165" s="112"/>
    </row>
    <row r="166" spans="2:16" ht="17.25" customHeight="1" x14ac:dyDescent="0.25">
      <c r="B166" s="122"/>
      <c r="C166" s="173" t="s">
        <v>258</v>
      </c>
      <c r="D166" s="173" t="s">
        <v>254</v>
      </c>
      <c r="E166" s="173" t="b">
        <v>1</v>
      </c>
      <c r="F166" s="173" t="s">
        <v>246</v>
      </c>
      <c r="G166" s="173" t="s">
        <v>248</v>
      </c>
      <c r="H166" s="34" t="str">
        <f t="shared" si="2"/>
        <v>Tees Middle|Dairy|TRUE|600to700|DrainedArGr</v>
      </c>
      <c r="I166" s="47">
        <v>0.75442258022951891</v>
      </c>
      <c r="J166" s="119">
        <v>14.720152721138154</v>
      </c>
      <c r="K166" s="34" t="str">
        <f t="shared" si="3"/>
        <v>Dairy|600to700</v>
      </c>
      <c r="L166" s="44">
        <f>AVERAGE(I166,I376,I378)</f>
        <v>0.35318357083101115</v>
      </c>
      <c r="M166" s="44">
        <f>AVERAGE(J166,J376,J378)</f>
        <v>21.393669249021958</v>
      </c>
      <c r="N166" s="216"/>
      <c r="O166" s="216"/>
      <c r="P166" s="112"/>
    </row>
    <row r="167" spans="2:16" ht="17.25" customHeight="1" x14ac:dyDescent="0.25">
      <c r="B167" s="122"/>
      <c r="C167" s="173" t="s">
        <v>258</v>
      </c>
      <c r="D167" s="173" t="s">
        <v>254</v>
      </c>
      <c r="E167" s="173" t="b">
        <v>0</v>
      </c>
      <c r="F167" s="173" t="s">
        <v>249</v>
      </c>
      <c r="G167" s="173" t="s">
        <v>247</v>
      </c>
      <c r="H167" s="34" t="str">
        <f t="shared" si="2"/>
        <v>Tees Middle|Dairy|FALSE|700to900|FreeDrain</v>
      </c>
      <c r="I167" s="47">
        <v>0.178580927585612</v>
      </c>
      <c r="J167" s="119">
        <v>40.473183126196361</v>
      </c>
      <c r="K167" s="34" t="str">
        <f t="shared" si="3"/>
        <v>Dairy|700to900</v>
      </c>
      <c r="L167" s="44">
        <f>AVERAGE(I167,I169,I384)</f>
        <v>0.53644872959115231</v>
      </c>
      <c r="M167" s="44">
        <f>AVERAGE(J167,J169,J384)</f>
        <v>30.401902955455238</v>
      </c>
      <c r="N167" s="216"/>
      <c r="O167" s="216"/>
      <c r="P167" s="112"/>
    </row>
    <row r="168" spans="2:16" ht="17.25" customHeight="1" x14ac:dyDescent="0.25">
      <c r="B168" s="122"/>
      <c r="C168" s="173" t="s">
        <v>258</v>
      </c>
      <c r="D168" s="173" t="s">
        <v>254</v>
      </c>
      <c r="E168" s="173" t="b">
        <v>1</v>
      </c>
      <c r="F168" s="173" t="s">
        <v>249</v>
      </c>
      <c r="G168" s="173" t="s">
        <v>247</v>
      </c>
      <c r="H168" s="34" t="str">
        <f t="shared" si="2"/>
        <v>Tees Middle|Dairy|TRUE|700to900|FreeDrain</v>
      </c>
      <c r="I168" s="47">
        <v>0.17685449986972912</v>
      </c>
      <c r="J168" s="119">
        <v>40.071628724399964</v>
      </c>
      <c r="K168" s="34" t="str">
        <f t="shared" si="3"/>
        <v>Dairy|700to900</v>
      </c>
      <c r="L168" s="44"/>
      <c r="M168" s="44"/>
      <c r="N168" s="216"/>
      <c r="O168" s="216"/>
      <c r="P168" s="112"/>
    </row>
    <row r="169" spans="2:16" ht="17.25" customHeight="1" x14ac:dyDescent="0.25">
      <c r="B169" s="122"/>
      <c r="C169" s="173" t="s">
        <v>258</v>
      </c>
      <c r="D169" s="173" t="s">
        <v>254</v>
      </c>
      <c r="E169" s="173" t="b">
        <v>0</v>
      </c>
      <c r="F169" s="173" t="s">
        <v>249</v>
      </c>
      <c r="G169" s="173" t="s">
        <v>248</v>
      </c>
      <c r="H169" s="34" t="str">
        <f t="shared" si="2"/>
        <v>Tees Middle|Dairy|FALSE|700to900|DrainedArGr</v>
      </c>
      <c r="I169" s="47">
        <v>1.1411496925119642</v>
      </c>
      <c r="J169" s="119">
        <v>18.554838483000896</v>
      </c>
      <c r="K169" s="34" t="str">
        <f t="shared" si="3"/>
        <v>Dairy|700to900</v>
      </c>
      <c r="L169" s="44"/>
      <c r="M169" s="44"/>
      <c r="N169" s="216"/>
      <c r="O169" s="216"/>
      <c r="P169" s="112"/>
    </row>
    <row r="170" spans="2:16" x14ac:dyDescent="0.25">
      <c r="B170" s="122"/>
      <c r="C170" s="173" t="s">
        <v>258</v>
      </c>
      <c r="D170" s="173" t="s">
        <v>255</v>
      </c>
      <c r="E170" s="173" t="b">
        <v>0</v>
      </c>
      <c r="F170" s="173" t="s">
        <v>246</v>
      </c>
      <c r="G170" s="173" t="s">
        <v>247</v>
      </c>
      <c r="H170" s="34" t="str">
        <f t="shared" si="2"/>
        <v>Tees Middle|LFA|FALSE|600to700|FreeDrain</v>
      </c>
      <c r="I170" s="47">
        <v>5.2288261615201545E-2</v>
      </c>
      <c r="J170" s="119">
        <v>8.3993450139053696</v>
      </c>
      <c r="K170" s="34" t="str">
        <f t="shared" si="3"/>
        <v>LFA|600to700</v>
      </c>
      <c r="L170" s="119">
        <f>AVERAGE(I170:I171,I389)</f>
        <v>0.15092734819465117</v>
      </c>
      <c r="M170" s="44">
        <f>AVERAGE(J170:J171,J389)</f>
        <v>6.6478313610401614</v>
      </c>
      <c r="N170" s="216"/>
      <c r="O170" s="216"/>
      <c r="P170" s="112"/>
    </row>
    <row r="171" spans="2:16" x14ac:dyDescent="0.25">
      <c r="B171" s="122"/>
      <c r="C171" s="173" t="s">
        <v>258</v>
      </c>
      <c r="D171" s="173" t="s">
        <v>255</v>
      </c>
      <c r="E171" s="173" t="b">
        <v>0</v>
      </c>
      <c r="F171" s="173" t="s">
        <v>246</v>
      </c>
      <c r="G171" s="173" t="s">
        <v>248</v>
      </c>
      <c r="H171" s="34" t="str">
        <f t="shared" si="2"/>
        <v>Tees Middle|LFA|FALSE|600to700|DrainedArGr</v>
      </c>
      <c r="I171" s="47">
        <v>0.34331063886640345</v>
      </c>
      <c r="J171" s="119">
        <v>6.1630109831799125</v>
      </c>
      <c r="K171" s="34" t="str">
        <f t="shared" si="3"/>
        <v>LFA|600to700</v>
      </c>
      <c r="L171" s="168"/>
      <c r="M171" s="217"/>
      <c r="N171" s="218"/>
      <c r="O171" s="218"/>
      <c r="P171" s="112"/>
    </row>
    <row r="172" spans="2:16" x14ac:dyDescent="0.25">
      <c r="B172" s="122"/>
      <c r="C172" s="173" t="s">
        <v>258</v>
      </c>
      <c r="D172" s="173" t="s">
        <v>255</v>
      </c>
      <c r="E172" s="173" t="b">
        <v>1</v>
      </c>
      <c r="F172" s="173" t="s">
        <v>246</v>
      </c>
      <c r="G172" s="173" t="s">
        <v>248</v>
      </c>
      <c r="H172" s="34" t="str">
        <f t="shared" si="2"/>
        <v>Tees Middle|LFA|TRUE|600to700|DrainedArGr</v>
      </c>
      <c r="I172" s="47">
        <v>0.34329380922353497</v>
      </c>
      <c r="J172" s="119">
        <v>6.1546799490289779</v>
      </c>
      <c r="K172" s="34" t="str">
        <f t="shared" si="3"/>
        <v>LFA|600to700</v>
      </c>
      <c r="L172" s="119"/>
      <c r="M172" s="44"/>
      <c r="N172" s="216"/>
      <c r="O172" s="216"/>
      <c r="P172" s="112"/>
    </row>
    <row r="173" spans="2:16" x14ac:dyDescent="0.25">
      <c r="B173" s="122"/>
      <c r="C173" s="173" t="s">
        <v>258</v>
      </c>
      <c r="D173" s="173" t="s">
        <v>255</v>
      </c>
      <c r="E173" s="173" t="b">
        <v>0</v>
      </c>
      <c r="F173" s="173" t="s">
        <v>249</v>
      </c>
      <c r="G173" s="173" t="s">
        <v>247</v>
      </c>
      <c r="H173" s="34" t="str">
        <f t="shared" si="2"/>
        <v>Tees Middle|LFA|FALSE|700to900|FreeDrain</v>
      </c>
      <c r="I173" s="47">
        <v>9.3587125005892877E-2</v>
      </c>
      <c r="J173" s="119">
        <v>12.058695567980878</v>
      </c>
      <c r="K173" s="34" t="str">
        <f t="shared" si="3"/>
        <v>LFA|700to900</v>
      </c>
      <c r="L173" s="119">
        <f>AVERAGE(I174:I176)</f>
        <v>0.24611498797659923</v>
      </c>
      <c r="M173" s="44">
        <f>AVERAGE(J174:J176)</f>
        <v>9.8380320107969172</v>
      </c>
      <c r="N173" s="216"/>
      <c r="O173" s="216"/>
      <c r="P173" s="112"/>
    </row>
    <row r="174" spans="2:16" x14ac:dyDescent="0.25">
      <c r="B174" s="122"/>
      <c r="C174" s="173" t="s">
        <v>258</v>
      </c>
      <c r="D174" s="173" t="s">
        <v>255</v>
      </c>
      <c r="E174" s="173" t="b">
        <v>1</v>
      </c>
      <c r="F174" s="173" t="s">
        <v>249</v>
      </c>
      <c r="G174" s="173" t="s">
        <v>247</v>
      </c>
      <c r="H174" s="34" t="str">
        <f t="shared" si="2"/>
        <v>Tees Middle|LFA|TRUE|700to900|FreeDrain</v>
      </c>
      <c r="I174" s="47">
        <v>9.3586956236067803E-2</v>
      </c>
      <c r="J174" s="119">
        <v>12.006328829910251</v>
      </c>
      <c r="K174" s="34" t="str">
        <f t="shared" si="3"/>
        <v>LFA|700to900</v>
      </c>
      <c r="L174" s="119"/>
      <c r="M174" s="44"/>
      <c r="N174" s="216"/>
      <c r="O174" s="216"/>
      <c r="P174" s="112"/>
    </row>
    <row r="175" spans="2:16" x14ac:dyDescent="0.25">
      <c r="B175" s="122"/>
      <c r="C175" s="173" t="s">
        <v>258</v>
      </c>
      <c r="D175" s="173" t="s">
        <v>255</v>
      </c>
      <c r="E175" s="173" t="b">
        <v>0</v>
      </c>
      <c r="F175" s="173" t="s">
        <v>249</v>
      </c>
      <c r="G175" s="173" t="s">
        <v>245</v>
      </c>
      <c r="H175" s="34" t="str">
        <f t="shared" si="2"/>
        <v>Tees Middle|LFA|FALSE|700to900|DrainedAr</v>
      </c>
      <c r="I175" s="47">
        <v>0.10836392499214739</v>
      </c>
      <c r="J175" s="119">
        <v>9.6415906551044532</v>
      </c>
      <c r="K175" s="34" t="str">
        <f t="shared" si="3"/>
        <v>LFA|700to900</v>
      </c>
      <c r="L175" s="168"/>
      <c r="M175" s="217"/>
      <c r="N175" s="218"/>
      <c r="O175" s="218"/>
      <c r="P175" s="112"/>
    </row>
    <row r="176" spans="2:16" x14ac:dyDescent="0.25">
      <c r="B176" s="122"/>
      <c r="C176" s="173" t="s">
        <v>258</v>
      </c>
      <c r="D176" s="173" t="s">
        <v>255</v>
      </c>
      <c r="E176" s="173" t="b">
        <v>0</v>
      </c>
      <c r="F176" s="173" t="s">
        <v>249</v>
      </c>
      <c r="G176" s="173" t="s">
        <v>248</v>
      </c>
      <c r="H176" s="34" t="str">
        <f t="shared" si="2"/>
        <v>Tees Middle|LFA|FALSE|700to900|DrainedArGr</v>
      </c>
      <c r="I176" s="47">
        <v>0.53639408270158251</v>
      </c>
      <c r="J176" s="119">
        <v>7.8661765473760497</v>
      </c>
      <c r="K176" s="34" t="str">
        <f t="shared" si="3"/>
        <v>LFA|700to900</v>
      </c>
      <c r="L176" s="119"/>
      <c r="M176" s="44"/>
      <c r="N176" s="216"/>
      <c r="O176" s="216"/>
      <c r="P176" s="112"/>
    </row>
    <row r="177" spans="2:16" x14ac:dyDescent="0.25">
      <c r="B177" s="122"/>
      <c r="C177" s="173" t="s">
        <v>258</v>
      </c>
      <c r="D177" s="173" t="s">
        <v>255</v>
      </c>
      <c r="E177" s="173" t="b">
        <v>0</v>
      </c>
      <c r="F177" s="173" t="s">
        <v>259</v>
      </c>
      <c r="G177" s="173" t="s">
        <v>247</v>
      </c>
      <c r="H177" s="34" t="str">
        <f t="shared" si="2"/>
        <v>Tees Middle|LFA|FALSE|900to1200|FreeDrain</v>
      </c>
      <c r="I177" s="47">
        <v>0.14833173278978398</v>
      </c>
      <c r="J177" s="119">
        <v>12.906375559720448</v>
      </c>
      <c r="K177" s="34" t="str">
        <f t="shared" si="3"/>
        <v>LFA|900to1200</v>
      </c>
      <c r="L177" s="119">
        <f>AVERAGE(I177,I178,I398)</f>
        <v>0.40129268019915926</v>
      </c>
      <c r="M177" s="44">
        <f>AVERAGE(J177,J178,J398)</f>
        <v>11.342102198268995</v>
      </c>
      <c r="N177" s="216"/>
      <c r="O177" s="216"/>
      <c r="P177" s="112"/>
    </row>
    <row r="178" spans="2:16" x14ac:dyDescent="0.25">
      <c r="B178" s="122"/>
      <c r="C178" s="173" t="s">
        <v>258</v>
      </c>
      <c r="D178" s="173" t="s">
        <v>255</v>
      </c>
      <c r="E178" s="173" t="b">
        <v>0</v>
      </c>
      <c r="F178" s="173" t="s">
        <v>259</v>
      </c>
      <c r="G178" s="173" t="s">
        <v>248</v>
      </c>
      <c r="H178" s="34" t="str">
        <f t="shared" si="2"/>
        <v>Tees Middle|LFA|FALSE|900to1200|DrainedArGr</v>
      </c>
      <c r="I178" s="47">
        <v>0.89557031696908596</v>
      </c>
      <c r="J178" s="119">
        <v>10.27830782117133</v>
      </c>
      <c r="K178" s="34" t="str">
        <f t="shared" si="3"/>
        <v>LFA|900to1200</v>
      </c>
      <c r="L178" s="44"/>
      <c r="M178" s="44"/>
      <c r="N178" s="216"/>
      <c r="O178" s="216"/>
      <c r="P178" s="112"/>
    </row>
    <row r="179" spans="2:16" x14ac:dyDescent="0.25">
      <c r="B179" s="122"/>
      <c r="C179" s="173" t="s">
        <v>258</v>
      </c>
      <c r="D179" s="173" t="s">
        <v>255</v>
      </c>
      <c r="E179" s="173" t="b">
        <v>0</v>
      </c>
      <c r="F179" s="173" t="s">
        <v>260</v>
      </c>
      <c r="G179" s="173" t="s">
        <v>247</v>
      </c>
      <c r="H179" s="34" t="str">
        <f t="shared" si="2"/>
        <v>Tees Middle|LFA|FALSE|1200to1500|FreeDrain</v>
      </c>
      <c r="I179" s="47">
        <v>0.2102812045592575</v>
      </c>
      <c r="J179" s="119">
        <v>12.553956276528053</v>
      </c>
      <c r="K179" s="34" t="str">
        <f t="shared" si="3"/>
        <v>LFA|1200to1500</v>
      </c>
      <c r="L179" s="44">
        <f>AVERAGE(I179,I401:I402)</f>
        <v>0.53287595199579718</v>
      </c>
      <c r="M179" s="44">
        <f>AVERAGE(J179,J401:J402)</f>
        <v>11.788180498347936</v>
      </c>
      <c r="N179" s="216"/>
      <c r="O179" s="216"/>
      <c r="P179" s="112"/>
    </row>
    <row r="180" spans="2:16" x14ac:dyDescent="0.25">
      <c r="B180" s="122"/>
      <c r="C180" s="173" t="s">
        <v>258</v>
      </c>
      <c r="D180" s="173" t="s">
        <v>256</v>
      </c>
      <c r="E180" s="173" t="b">
        <v>0</v>
      </c>
      <c r="F180" s="173" t="s">
        <v>246</v>
      </c>
      <c r="G180" s="173" t="s">
        <v>247</v>
      </c>
      <c r="H180" s="34" t="str">
        <f t="shared" si="2"/>
        <v>Tees Middle|Lowland|FALSE|600to700|FreeDrain</v>
      </c>
      <c r="I180" s="47">
        <v>7.0002035066757742E-2</v>
      </c>
      <c r="J180" s="119">
        <v>12.823130284100198</v>
      </c>
      <c r="K180" s="34" t="str">
        <f t="shared" si="3"/>
        <v>Lowland|600to700</v>
      </c>
      <c r="L180" s="44">
        <f>AVERAGE(I180,I182,I407)</f>
        <v>0.21797086138189292</v>
      </c>
      <c r="M180" s="44">
        <f>AVERAGE(J180,J182,J407)</f>
        <v>9.9284999909243989</v>
      </c>
      <c r="N180" s="216"/>
      <c r="O180" s="216"/>
      <c r="P180" s="124"/>
    </row>
    <row r="181" spans="2:16" x14ac:dyDescent="0.25">
      <c r="B181" s="122"/>
      <c r="C181" s="173" t="s">
        <v>258</v>
      </c>
      <c r="D181" s="173" t="s">
        <v>256</v>
      </c>
      <c r="E181" s="173" t="b">
        <v>1</v>
      </c>
      <c r="F181" s="173" t="s">
        <v>246</v>
      </c>
      <c r="G181" s="173" t="s">
        <v>247</v>
      </c>
      <c r="H181" s="34" t="str">
        <f t="shared" si="2"/>
        <v>Tees Middle|Lowland|TRUE|600to700|FreeDrain</v>
      </c>
      <c r="I181" s="47">
        <v>7.0001905103414169E-2</v>
      </c>
      <c r="J181" s="119">
        <v>12.744982654324254</v>
      </c>
      <c r="K181" s="34" t="str">
        <f t="shared" si="3"/>
        <v>Lowland|600to700</v>
      </c>
      <c r="L181" s="44"/>
      <c r="M181" s="44"/>
      <c r="N181" s="216"/>
      <c r="O181" s="216"/>
      <c r="P181" s="112"/>
    </row>
    <row r="182" spans="2:16" x14ac:dyDescent="0.25">
      <c r="B182" s="122"/>
      <c r="C182" s="173" t="s">
        <v>258</v>
      </c>
      <c r="D182" s="173" t="s">
        <v>256</v>
      </c>
      <c r="E182" s="173" t="b">
        <v>0</v>
      </c>
      <c r="F182" s="173" t="s">
        <v>246</v>
      </c>
      <c r="G182" s="173" t="s">
        <v>248</v>
      </c>
      <c r="H182" s="34" t="str">
        <f t="shared" si="2"/>
        <v>Tees Middle|Lowland|FALSE|600to700|DrainedArGr</v>
      </c>
      <c r="I182" s="47">
        <v>0.48424120627968004</v>
      </c>
      <c r="J182" s="119">
        <v>8.5943553679005937</v>
      </c>
      <c r="K182" s="34" t="str">
        <f t="shared" si="3"/>
        <v>Lowland|600to700</v>
      </c>
      <c r="L182" s="44"/>
      <c r="M182" s="44"/>
      <c r="N182" s="216"/>
      <c r="O182" s="216"/>
      <c r="P182" s="112"/>
    </row>
    <row r="183" spans="2:16" x14ac:dyDescent="0.25">
      <c r="B183" s="122"/>
      <c r="C183" s="173" t="s">
        <v>258</v>
      </c>
      <c r="D183" s="173" t="s">
        <v>256</v>
      </c>
      <c r="E183" s="173" t="b">
        <v>1</v>
      </c>
      <c r="F183" s="173" t="s">
        <v>246</v>
      </c>
      <c r="G183" s="173" t="s">
        <v>248</v>
      </c>
      <c r="H183" s="34" t="str">
        <f t="shared" si="2"/>
        <v>Tees Middle|Lowland|TRUE|600to700|DrainedArGr</v>
      </c>
      <c r="I183" s="47">
        <v>0.4842205710835214</v>
      </c>
      <c r="J183" s="119">
        <v>8.5771149094234467</v>
      </c>
      <c r="K183" s="34" t="str">
        <f t="shared" si="3"/>
        <v>Lowland|600to700</v>
      </c>
      <c r="L183" s="44"/>
      <c r="M183" s="44"/>
      <c r="N183" s="216"/>
      <c r="O183" s="216"/>
      <c r="P183" s="112"/>
    </row>
    <row r="184" spans="2:16" x14ac:dyDescent="0.25">
      <c r="B184" s="122"/>
      <c r="C184" s="173" t="s">
        <v>258</v>
      </c>
      <c r="D184" s="173" t="s">
        <v>256</v>
      </c>
      <c r="E184" s="173" t="b">
        <v>0</v>
      </c>
      <c r="F184" s="173" t="s">
        <v>249</v>
      </c>
      <c r="G184" s="173" t="s">
        <v>247</v>
      </c>
      <c r="H184" s="34" t="str">
        <f t="shared" si="2"/>
        <v>Tees Middle|Lowland|FALSE|700to900|FreeDrain</v>
      </c>
      <c r="I184" s="47">
        <v>0.11988856872307231</v>
      </c>
      <c r="J184" s="119">
        <v>18.27938059438257</v>
      </c>
      <c r="K184" s="34" t="str">
        <f t="shared" si="3"/>
        <v>Lowland|700to900</v>
      </c>
      <c r="L184" s="44">
        <f>AVERAGE(I184,I186:I187)</f>
        <v>0.3460764744239464</v>
      </c>
      <c r="M184" s="44">
        <f>AVERAGE(J184,J186:J187)</f>
        <v>14.419593673913147</v>
      </c>
      <c r="N184" s="216"/>
      <c r="O184" s="216"/>
      <c r="P184" s="112"/>
    </row>
    <row r="185" spans="2:16" x14ac:dyDescent="0.25">
      <c r="B185" s="122"/>
      <c r="C185" s="173" t="s">
        <v>258</v>
      </c>
      <c r="D185" s="173" t="s">
        <v>256</v>
      </c>
      <c r="E185" s="173" t="b">
        <v>1</v>
      </c>
      <c r="F185" s="173" t="s">
        <v>249</v>
      </c>
      <c r="G185" s="173" t="s">
        <v>247</v>
      </c>
      <c r="H185" s="34" t="str">
        <f t="shared" si="2"/>
        <v>Tees Middle|Lowland|TRUE|700to900|FreeDrain</v>
      </c>
      <c r="I185" s="47">
        <v>0.11988836179066899</v>
      </c>
      <c r="J185" s="119">
        <v>18.176198557037715</v>
      </c>
      <c r="K185" s="34" t="str">
        <f t="shared" si="3"/>
        <v>Lowland|700to900</v>
      </c>
      <c r="L185" s="44"/>
      <c r="M185" s="44"/>
      <c r="N185" s="216"/>
      <c r="O185" s="216"/>
      <c r="P185" s="112"/>
    </row>
    <row r="186" spans="2:16" x14ac:dyDescent="0.25">
      <c r="B186" s="122"/>
      <c r="C186" s="173" t="s">
        <v>258</v>
      </c>
      <c r="D186" s="173" t="s">
        <v>256</v>
      </c>
      <c r="E186" s="173" t="b">
        <v>0</v>
      </c>
      <c r="F186" s="173" t="s">
        <v>249</v>
      </c>
      <c r="G186" s="173" t="s">
        <v>245</v>
      </c>
      <c r="H186" s="34" t="str">
        <f t="shared" si="2"/>
        <v>Tees Middle|Lowland|FALSE|700to900|DrainedAr</v>
      </c>
      <c r="I186" s="47">
        <v>0.16757838375174372</v>
      </c>
      <c r="J186" s="119">
        <v>14.291839239615104</v>
      </c>
      <c r="K186" s="34" t="str">
        <f t="shared" si="3"/>
        <v>Lowland|700to900</v>
      </c>
      <c r="L186" s="44"/>
      <c r="M186" s="44"/>
      <c r="N186" s="216"/>
      <c r="O186" s="216"/>
      <c r="P186" s="112"/>
    </row>
    <row r="187" spans="2:16" x14ac:dyDescent="0.25">
      <c r="B187" s="122"/>
      <c r="C187" s="173" t="s">
        <v>258</v>
      </c>
      <c r="D187" s="173" t="s">
        <v>256</v>
      </c>
      <c r="E187" s="173" t="b">
        <v>0</v>
      </c>
      <c r="F187" s="173" t="s">
        <v>249</v>
      </c>
      <c r="G187" s="173" t="s">
        <v>248</v>
      </c>
      <c r="H187" s="34" t="str">
        <f t="shared" si="2"/>
        <v>Tees Middle|Lowland|FALSE|700to900|DrainedArGr</v>
      </c>
      <c r="I187" s="47">
        <v>0.75076247079702318</v>
      </c>
      <c r="J187" s="119">
        <v>10.68756118774176</v>
      </c>
      <c r="K187" s="34" t="str">
        <f t="shared" si="3"/>
        <v>Lowland|700to900</v>
      </c>
      <c r="L187" s="44"/>
      <c r="M187" s="44"/>
      <c r="N187" s="216"/>
      <c r="O187" s="216"/>
      <c r="P187" s="164"/>
    </row>
    <row r="188" spans="2:16" x14ac:dyDescent="0.25">
      <c r="B188" s="122"/>
      <c r="C188" s="173" t="s">
        <v>258</v>
      </c>
      <c r="D188" s="173" t="s">
        <v>256</v>
      </c>
      <c r="E188" s="173" t="b">
        <v>1</v>
      </c>
      <c r="F188" s="173" t="s">
        <v>249</v>
      </c>
      <c r="G188" s="173" t="s">
        <v>248</v>
      </c>
      <c r="H188" s="34" t="str">
        <f t="shared" si="2"/>
        <v>Tees Middle|Lowland|TRUE|700to900|DrainedArGr</v>
      </c>
      <c r="I188" s="47">
        <v>0.75073748747695213</v>
      </c>
      <c r="J188" s="119">
        <v>10.668009165952773</v>
      </c>
      <c r="K188" s="34" t="str">
        <f t="shared" si="3"/>
        <v>Lowland|700to900</v>
      </c>
      <c r="L188" s="44"/>
      <c r="M188" s="44"/>
      <c r="N188" s="216"/>
      <c r="O188" s="216"/>
      <c r="P188" s="112"/>
    </row>
    <row r="189" spans="2:16" x14ac:dyDescent="0.25">
      <c r="B189" s="122"/>
      <c r="C189" s="173" t="s">
        <v>258</v>
      </c>
      <c r="D189" s="173" t="s">
        <v>256</v>
      </c>
      <c r="E189" s="173" t="b">
        <v>0</v>
      </c>
      <c r="F189" s="173" t="s">
        <v>259</v>
      </c>
      <c r="G189" s="173" t="s">
        <v>247</v>
      </c>
      <c r="H189" s="34" t="str">
        <f t="shared" si="2"/>
        <v>Tees Middle|Lowland|FALSE|900to1200|FreeDrain</v>
      </c>
      <c r="I189" s="47">
        <v>0.18364591644801517</v>
      </c>
      <c r="J189" s="119">
        <v>19.500208505519964</v>
      </c>
      <c r="K189" s="34" t="str">
        <f t="shared" si="3"/>
        <v>Lowland|900to1200</v>
      </c>
      <c r="L189" s="44">
        <f>AVERAGE(I189:I190)</f>
        <v>0.71234590778997775</v>
      </c>
      <c r="M189" s="44">
        <f>AVERAGE(J189:J190)</f>
        <v>16.846886700062903</v>
      </c>
      <c r="N189" s="216"/>
      <c r="O189" s="216"/>
      <c r="P189" s="112"/>
    </row>
    <row r="190" spans="2:16" x14ac:dyDescent="0.25">
      <c r="B190" s="122"/>
      <c r="C190" s="173" t="s">
        <v>258</v>
      </c>
      <c r="D190" s="173" t="s">
        <v>256</v>
      </c>
      <c r="E190" s="173" t="b">
        <v>0</v>
      </c>
      <c r="F190" s="173" t="s">
        <v>259</v>
      </c>
      <c r="G190" s="173" t="s">
        <v>248</v>
      </c>
      <c r="H190" s="34" t="str">
        <f t="shared" si="2"/>
        <v>Tees Middle|Lowland|FALSE|900to1200|DrainedArGr</v>
      </c>
      <c r="I190" s="47">
        <v>1.2410458991319404</v>
      </c>
      <c r="J190" s="119">
        <v>14.193564894605846</v>
      </c>
      <c r="K190" s="34" t="str">
        <f t="shared" si="3"/>
        <v>Lowland|900to1200</v>
      </c>
      <c r="L190" s="44"/>
      <c r="M190" s="44"/>
      <c r="N190" s="216"/>
      <c r="O190" s="216"/>
      <c r="P190" s="112"/>
    </row>
    <row r="191" spans="2:16" x14ac:dyDescent="0.25">
      <c r="B191" s="122"/>
      <c r="C191" s="173" t="s">
        <v>258</v>
      </c>
      <c r="D191" s="173" t="s">
        <v>257</v>
      </c>
      <c r="E191" s="173" t="b">
        <v>0</v>
      </c>
      <c r="F191" s="173" t="s">
        <v>246</v>
      </c>
      <c r="G191" s="173" t="s">
        <v>247</v>
      </c>
      <c r="H191" s="34" t="str">
        <f t="shared" si="2"/>
        <v>Tees Middle|Mixed|FALSE|600to700|FreeDrain</v>
      </c>
      <c r="I191" s="47">
        <v>7.0177508234389674E-2</v>
      </c>
      <c r="J191" s="119">
        <v>27.510385205074503</v>
      </c>
      <c r="K191" s="34" t="str">
        <f t="shared" si="3"/>
        <v>Mixed|600to700</v>
      </c>
      <c r="L191" s="44">
        <f>AVERAGE(I191,I193,I423)</f>
        <v>0.28581114623555653</v>
      </c>
      <c r="M191" s="44">
        <f>AVERAGE(J191,J193,J423)</f>
        <v>21.344344108758246</v>
      </c>
      <c r="N191" s="216"/>
      <c r="O191" s="216"/>
      <c r="P191" s="112"/>
    </row>
    <row r="192" spans="2:16" x14ac:dyDescent="0.25">
      <c r="B192" s="122"/>
      <c r="C192" s="173" t="s">
        <v>258</v>
      </c>
      <c r="D192" s="173" t="s">
        <v>257</v>
      </c>
      <c r="E192" s="173" t="b">
        <v>1</v>
      </c>
      <c r="F192" s="173" t="s">
        <v>246</v>
      </c>
      <c r="G192" s="173" t="s">
        <v>247</v>
      </c>
      <c r="H192" s="34" t="str">
        <f t="shared" si="2"/>
        <v>Tees Middle|Mixed|TRUE|600to700|FreeDrain</v>
      </c>
      <c r="I192" s="119">
        <v>6.9926794178818086E-2</v>
      </c>
      <c r="J192" s="119">
        <v>27.447527825923586</v>
      </c>
      <c r="K192" s="34" t="str">
        <f t="shared" si="3"/>
        <v>Mixed|600to700</v>
      </c>
      <c r="L192" s="44"/>
      <c r="M192" s="44"/>
      <c r="N192" s="216"/>
      <c r="O192" s="216"/>
      <c r="P192" s="112"/>
    </row>
    <row r="193" spans="2:16" x14ac:dyDescent="0.25">
      <c r="B193" s="122"/>
      <c r="C193" s="173" t="s">
        <v>258</v>
      </c>
      <c r="D193" s="173" t="s">
        <v>257</v>
      </c>
      <c r="E193" s="173" t="b">
        <v>0</v>
      </c>
      <c r="F193" s="173" t="s">
        <v>246</v>
      </c>
      <c r="G193" s="173" t="s">
        <v>248</v>
      </c>
      <c r="H193" s="34" t="str">
        <f t="shared" si="2"/>
        <v>Tees Middle|Mixed|FALSE|600to700|DrainedArGr</v>
      </c>
      <c r="I193" s="119">
        <v>0.57367504035205774</v>
      </c>
      <c r="J193" s="119">
        <v>19.487857058507334</v>
      </c>
      <c r="K193" s="34" t="str">
        <f t="shared" si="3"/>
        <v>Mixed|600to700</v>
      </c>
      <c r="L193" s="119"/>
      <c r="M193" s="44"/>
      <c r="N193" s="216"/>
      <c r="O193" s="216"/>
      <c r="P193" s="112"/>
    </row>
    <row r="194" spans="2:16" x14ac:dyDescent="0.25">
      <c r="B194" s="122"/>
      <c r="C194" s="173" t="s">
        <v>258</v>
      </c>
      <c r="D194" s="173" t="s">
        <v>257</v>
      </c>
      <c r="E194" s="173" t="b">
        <v>1</v>
      </c>
      <c r="F194" s="173" t="s">
        <v>246</v>
      </c>
      <c r="G194" s="173" t="s">
        <v>248</v>
      </c>
      <c r="H194" s="34" t="str">
        <f t="shared" si="2"/>
        <v>Tees Middle|Mixed|TRUE|600to700|DrainedArGr</v>
      </c>
      <c r="I194" s="119">
        <v>0.57056556006743975</v>
      </c>
      <c r="J194" s="119">
        <v>19.147927897471416</v>
      </c>
      <c r="K194" s="34" t="str">
        <f t="shared" si="3"/>
        <v>Mixed|600to700</v>
      </c>
      <c r="L194" s="119"/>
      <c r="M194" s="44"/>
      <c r="N194" s="216"/>
      <c r="O194" s="216"/>
      <c r="P194" s="112"/>
    </row>
    <row r="195" spans="2:16" x14ac:dyDescent="0.25">
      <c r="B195" s="122"/>
      <c r="C195" s="173" t="s">
        <v>258</v>
      </c>
      <c r="D195" s="173" t="s">
        <v>257</v>
      </c>
      <c r="E195" s="173" t="b">
        <v>0</v>
      </c>
      <c r="F195" s="173" t="s">
        <v>249</v>
      </c>
      <c r="G195" s="173" t="s">
        <v>247</v>
      </c>
      <c r="H195" s="34" t="str">
        <f t="shared" si="2"/>
        <v>Tees Middle|Mixed|FALSE|700to900|FreeDrain</v>
      </c>
      <c r="I195" s="119">
        <v>0.15495090496057995</v>
      </c>
      <c r="J195" s="119">
        <v>34.63125115574573</v>
      </c>
      <c r="K195" s="34" t="str">
        <f t="shared" si="3"/>
        <v>Mixed|700to900</v>
      </c>
      <c r="L195" s="119">
        <f>AVERAGE(I195,I197:I198)</f>
        <v>0.52436067579154144</v>
      </c>
      <c r="M195" s="44">
        <f>AVERAGE(J195,J197:J198)</f>
        <v>27.669464600568858</v>
      </c>
      <c r="N195" s="216"/>
      <c r="O195" s="216"/>
      <c r="P195" s="112"/>
    </row>
    <row r="196" spans="2:16" x14ac:dyDescent="0.25">
      <c r="B196" s="122"/>
      <c r="C196" s="173" t="s">
        <v>258</v>
      </c>
      <c r="D196" s="173" t="s">
        <v>257</v>
      </c>
      <c r="E196" s="173" t="b">
        <v>1</v>
      </c>
      <c r="F196" s="173" t="s">
        <v>249</v>
      </c>
      <c r="G196" s="173" t="s">
        <v>247</v>
      </c>
      <c r="H196" s="34" t="str">
        <f t="shared" si="2"/>
        <v>Tees Middle|Mixed|TRUE|700to900|FreeDrain</v>
      </c>
      <c r="I196" s="119">
        <v>0.15448308476538586</v>
      </c>
      <c r="J196" s="119">
        <v>34.548144942961386</v>
      </c>
      <c r="K196" s="34" t="str">
        <f t="shared" si="3"/>
        <v>Mixed|700to900</v>
      </c>
      <c r="L196" s="119"/>
      <c r="M196" s="44"/>
      <c r="N196" s="216"/>
      <c r="O196" s="216"/>
      <c r="P196" s="112"/>
    </row>
    <row r="197" spans="2:16" x14ac:dyDescent="0.25">
      <c r="B197" s="122"/>
      <c r="C197" s="173" t="s">
        <v>258</v>
      </c>
      <c r="D197" s="173" t="s">
        <v>257</v>
      </c>
      <c r="E197" s="173" t="b">
        <v>0</v>
      </c>
      <c r="F197" s="173" t="s">
        <v>249</v>
      </c>
      <c r="G197" s="173" t="s">
        <v>245</v>
      </c>
      <c r="H197" s="34" t="str">
        <f t="shared" si="2"/>
        <v>Tees Middle|Mixed|FALSE|700to900|DrainedAr</v>
      </c>
      <c r="I197" s="119">
        <v>0.47304128072118434</v>
      </c>
      <c r="J197" s="119">
        <v>26.305813399338923</v>
      </c>
      <c r="K197" s="34" t="str">
        <f t="shared" si="3"/>
        <v>Mixed|700to900</v>
      </c>
      <c r="L197" s="119"/>
      <c r="M197" s="44"/>
      <c r="N197" s="216"/>
      <c r="O197" s="216"/>
      <c r="P197" s="112"/>
    </row>
    <row r="198" spans="2:16" x14ac:dyDescent="0.25">
      <c r="B198" s="122"/>
      <c r="C198" s="173" t="s">
        <v>258</v>
      </c>
      <c r="D198" s="173" t="s">
        <v>257</v>
      </c>
      <c r="E198" s="173" t="b">
        <v>0</v>
      </c>
      <c r="F198" s="173" t="s">
        <v>249</v>
      </c>
      <c r="G198" s="173" t="s">
        <v>248</v>
      </c>
      <c r="H198" s="34" t="str">
        <f t="shared" si="2"/>
        <v>Tees Middle|Mixed|FALSE|700to900|DrainedArGr</v>
      </c>
      <c r="I198" s="119">
        <v>0.94508984169286003</v>
      </c>
      <c r="J198" s="119">
        <v>22.071329246621914</v>
      </c>
      <c r="K198" s="34" t="str">
        <f t="shared" si="3"/>
        <v>Mixed|700to900</v>
      </c>
      <c r="L198" s="119"/>
      <c r="M198" s="44"/>
      <c r="N198" s="216"/>
      <c r="O198" s="216"/>
      <c r="P198" s="112"/>
    </row>
    <row r="199" spans="2:16" x14ac:dyDescent="0.25">
      <c r="B199" s="122"/>
      <c r="C199" s="173" t="s">
        <v>258</v>
      </c>
      <c r="D199" s="173" t="s">
        <v>257</v>
      </c>
      <c r="E199" s="173" t="b">
        <v>1</v>
      </c>
      <c r="F199" s="173" t="s">
        <v>249</v>
      </c>
      <c r="G199" s="173" t="s">
        <v>248</v>
      </c>
      <c r="H199" s="34" t="str">
        <f t="shared" si="2"/>
        <v>Tees Middle|Mixed|TRUE|700to900|DrainedArGr</v>
      </c>
      <c r="I199" s="119">
        <v>0.94097864421276856</v>
      </c>
      <c r="J199" s="119">
        <v>21.641686724808608</v>
      </c>
      <c r="K199" s="34" t="str">
        <f t="shared" si="3"/>
        <v>Mixed|700to900</v>
      </c>
      <c r="L199" s="119"/>
      <c r="M199" s="44"/>
      <c r="N199" s="216"/>
      <c r="O199" s="216"/>
      <c r="P199" s="112"/>
    </row>
    <row r="200" spans="2:16" x14ac:dyDescent="0.25">
      <c r="B200" s="122"/>
      <c r="C200" s="173" t="s">
        <v>258</v>
      </c>
      <c r="D200" s="173" t="s">
        <v>257</v>
      </c>
      <c r="E200" s="173" t="b">
        <v>0</v>
      </c>
      <c r="F200" s="173" t="s">
        <v>259</v>
      </c>
      <c r="G200" s="173" t="s">
        <v>248</v>
      </c>
      <c r="H200" s="34" t="str">
        <f t="shared" si="2"/>
        <v>Tees Middle|Mixed|FALSE|900to1200|DrainedArGr</v>
      </c>
      <c r="I200" s="119">
        <v>1.5453735167602272</v>
      </c>
      <c r="J200" s="119">
        <v>26.135795072009618</v>
      </c>
      <c r="K200" s="34" t="str">
        <f t="shared" si="3"/>
        <v>Mixed|900to1200</v>
      </c>
      <c r="L200" s="119">
        <f>AVERAGE(I200,I432)</f>
        <v>0.90092673297347803</v>
      </c>
      <c r="M200" s="44">
        <f>AVERAGE(J200,J432)</f>
        <v>29.455635960656004</v>
      </c>
      <c r="N200" s="216"/>
      <c r="O200" s="216"/>
      <c r="P200" s="112"/>
    </row>
    <row r="201" spans="2:16" x14ac:dyDescent="0.25">
      <c r="B201" s="122"/>
      <c r="C201" s="173" t="s">
        <v>261</v>
      </c>
      <c r="D201" s="173" t="s">
        <v>250</v>
      </c>
      <c r="E201" s="173" t="b">
        <v>0</v>
      </c>
      <c r="F201" s="173" t="s">
        <v>249</v>
      </c>
      <c r="G201" s="173" t="s">
        <v>247</v>
      </c>
      <c r="H201" s="34" t="str">
        <f t="shared" si="2"/>
        <v>Tees Upper|General|FALSE|700to900|FreeDrain</v>
      </c>
      <c r="I201" s="119">
        <v>0.10708434349276955</v>
      </c>
      <c r="J201" s="119">
        <v>12.827002225434581</v>
      </c>
      <c r="K201" s="34" t="str">
        <f t="shared" si="3"/>
        <v>General|700to900</v>
      </c>
      <c r="L201" s="119">
        <f>AVERAGE(I201:I202,I343)</f>
        <v>0.35490105458562748</v>
      </c>
      <c r="M201" s="44">
        <f>AVERAGE(J201:J202,J343)</f>
        <v>12.147404329280533</v>
      </c>
      <c r="N201" s="216"/>
      <c r="O201" s="216"/>
      <c r="P201" s="112"/>
    </row>
    <row r="202" spans="2:16" x14ac:dyDescent="0.25">
      <c r="B202" s="122"/>
      <c r="C202" s="173" t="s">
        <v>261</v>
      </c>
      <c r="D202" s="173" t="s">
        <v>250</v>
      </c>
      <c r="E202" s="173" t="b">
        <v>0</v>
      </c>
      <c r="F202" s="173" t="s">
        <v>249</v>
      </c>
      <c r="G202" s="173" t="s">
        <v>248</v>
      </c>
      <c r="H202" s="34" t="str">
        <f t="shared" si="2"/>
        <v>Tees Upper|General|FALSE|700to900|DrainedArGr</v>
      </c>
      <c r="I202" s="119">
        <v>0.5331479768607208</v>
      </c>
      <c r="J202" s="119">
        <v>7.5597580979771948</v>
      </c>
      <c r="K202" s="34" t="str">
        <f t="shared" si="3"/>
        <v>General|700to900</v>
      </c>
      <c r="L202" s="119"/>
      <c r="M202" s="44"/>
      <c r="N202" s="216"/>
      <c r="O202" s="216"/>
      <c r="P202" s="112"/>
    </row>
    <row r="203" spans="2:16" x14ac:dyDescent="0.25">
      <c r="B203" s="122"/>
      <c r="C203" s="173" t="s">
        <v>261</v>
      </c>
      <c r="D203" s="173" t="s">
        <v>250</v>
      </c>
      <c r="E203" s="173" t="b">
        <v>0</v>
      </c>
      <c r="F203" s="173" t="s">
        <v>259</v>
      </c>
      <c r="G203" s="173" t="s">
        <v>247</v>
      </c>
      <c r="H203" s="34" t="str">
        <f t="shared" si="2"/>
        <v>Tees Upper|General|FALSE|900to1200|FreeDrain</v>
      </c>
      <c r="I203" s="119">
        <v>0.19257840520575586</v>
      </c>
      <c r="J203" s="119">
        <v>13.488516046595915</v>
      </c>
      <c r="K203" s="34" t="str">
        <f t="shared" si="3"/>
        <v>General|900to1200</v>
      </c>
      <c r="L203" s="119">
        <f>AVERAGE(I203:I204,I347)</f>
        <v>0.64572252628735105</v>
      </c>
      <c r="M203" s="44">
        <f>AVERAGE(J203:J204,J347)</f>
        <v>14.218125007143598</v>
      </c>
      <c r="N203" s="216"/>
      <c r="O203" s="216"/>
      <c r="P203" s="112"/>
    </row>
    <row r="204" spans="2:16" x14ac:dyDescent="0.25">
      <c r="B204" s="122"/>
      <c r="C204" s="173" t="s">
        <v>261</v>
      </c>
      <c r="D204" s="173" t="s">
        <v>250</v>
      </c>
      <c r="E204" s="173" t="b">
        <v>0</v>
      </c>
      <c r="F204" s="173" t="s">
        <v>259</v>
      </c>
      <c r="G204" s="173" t="s">
        <v>248</v>
      </c>
      <c r="H204" s="34" t="str">
        <f t="shared" si="2"/>
        <v>Tees Upper|General|FALSE|900to1200|DrainedArGr</v>
      </c>
      <c r="I204" s="119">
        <v>0.94409477617105031</v>
      </c>
      <c r="J204" s="119">
        <v>8.8983317010792025</v>
      </c>
      <c r="K204" s="34" t="str">
        <f t="shared" si="3"/>
        <v>General|900to1200</v>
      </c>
      <c r="L204" s="119"/>
      <c r="M204" s="44"/>
      <c r="N204" s="216"/>
      <c r="O204" s="216"/>
      <c r="P204" s="112"/>
    </row>
    <row r="205" spans="2:16" x14ac:dyDescent="0.25">
      <c r="B205" s="122"/>
      <c r="C205" s="173" t="s">
        <v>261</v>
      </c>
      <c r="D205" s="173" t="s">
        <v>250</v>
      </c>
      <c r="E205" s="173" t="b">
        <v>0</v>
      </c>
      <c r="F205" s="173" t="s">
        <v>260</v>
      </c>
      <c r="G205" s="173" t="s">
        <v>247</v>
      </c>
      <c r="H205" s="34" t="str">
        <f t="shared" si="2"/>
        <v>Tees Upper|General|FALSE|1200to1500|FreeDrain</v>
      </c>
      <c r="I205" s="119">
        <v>0.28954465027778781</v>
      </c>
      <c r="J205" s="119">
        <v>13.485470046405972</v>
      </c>
      <c r="K205" s="34" t="str">
        <f t="shared" si="3"/>
        <v>General|1200to1500</v>
      </c>
      <c r="L205" s="119">
        <f>AVERAGE(I205:I206)</f>
        <v>0.86365738284009375</v>
      </c>
      <c r="M205" s="44">
        <f>AVERAGE(J205:J206)</f>
        <v>12.056753713180836</v>
      </c>
      <c r="N205" s="216"/>
      <c r="O205" s="216"/>
      <c r="P205" s="112"/>
    </row>
    <row r="206" spans="2:16" x14ac:dyDescent="0.25">
      <c r="B206" s="122"/>
      <c r="C206" s="173" t="s">
        <v>261</v>
      </c>
      <c r="D206" s="173" t="s">
        <v>250</v>
      </c>
      <c r="E206" s="173" t="b">
        <v>0</v>
      </c>
      <c r="F206" s="173" t="s">
        <v>260</v>
      </c>
      <c r="G206" s="173" t="s">
        <v>248</v>
      </c>
      <c r="H206" s="34" t="str">
        <f t="shared" si="2"/>
        <v>Tees Upper|General|FALSE|1200to1500|DrainedArGr</v>
      </c>
      <c r="I206" s="119">
        <v>1.4377701154023996</v>
      </c>
      <c r="J206" s="119">
        <v>10.628037379955698</v>
      </c>
      <c r="K206" s="34" t="str">
        <f t="shared" si="3"/>
        <v>General|1200to1500</v>
      </c>
      <c r="L206" s="119"/>
      <c r="M206" s="44"/>
      <c r="N206" s="216"/>
      <c r="O206" s="216"/>
      <c r="P206" s="112"/>
    </row>
    <row r="207" spans="2:16" x14ac:dyDescent="0.25">
      <c r="B207" s="122"/>
      <c r="C207" s="173" t="s">
        <v>261</v>
      </c>
      <c r="D207" s="173" t="s">
        <v>253</v>
      </c>
      <c r="E207" s="173" t="b">
        <v>0</v>
      </c>
      <c r="F207" s="173" t="s">
        <v>259</v>
      </c>
      <c r="G207" s="173" t="s">
        <v>247</v>
      </c>
      <c r="H207" s="34" t="str">
        <f t="shared" si="2"/>
        <v>Tees Upper|Poultry|FALSE|900to1200|FreeDrain</v>
      </c>
      <c r="I207" s="119">
        <v>0.28804833496672488</v>
      </c>
      <c r="J207" s="119">
        <v>48.410828841515603</v>
      </c>
      <c r="K207" s="34" t="str">
        <f t="shared" si="3"/>
        <v>Poultry|900to1200</v>
      </c>
      <c r="L207" s="119">
        <f>AVERAGE(I207:I208)</f>
        <v>0.77980715007081103</v>
      </c>
      <c r="M207" s="44">
        <f>AVERAGE(J207:J208)</f>
        <v>37.788735161985642</v>
      </c>
      <c r="N207" s="216"/>
      <c r="O207" s="216"/>
      <c r="P207" s="112"/>
    </row>
    <row r="208" spans="2:16" x14ac:dyDescent="0.25">
      <c r="B208" s="122"/>
      <c r="C208" s="173" t="s">
        <v>261</v>
      </c>
      <c r="D208" s="173" t="s">
        <v>253</v>
      </c>
      <c r="E208" s="173" t="b">
        <v>0</v>
      </c>
      <c r="F208" s="173" t="s">
        <v>259</v>
      </c>
      <c r="G208" s="173" t="s">
        <v>248</v>
      </c>
      <c r="H208" s="34" t="str">
        <f t="shared" si="2"/>
        <v>Tees Upper|Poultry|FALSE|900to1200|DrainedArGr</v>
      </c>
      <c r="I208" s="119">
        <v>1.2715659651748972</v>
      </c>
      <c r="J208" s="119">
        <v>27.166641482455681</v>
      </c>
      <c r="K208" s="34" t="str">
        <f t="shared" si="3"/>
        <v>Poultry|900to1200</v>
      </c>
      <c r="L208" s="119"/>
      <c r="M208" s="44"/>
      <c r="N208" s="216"/>
      <c r="O208" s="216"/>
      <c r="P208" s="112"/>
    </row>
    <row r="209" spans="2:16" x14ac:dyDescent="0.25">
      <c r="B209" s="122"/>
      <c r="C209" s="173" t="s">
        <v>261</v>
      </c>
      <c r="D209" s="173" t="s">
        <v>253</v>
      </c>
      <c r="E209" s="173" t="b">
        <v>0</v>
      </c>
      <c r="F209" s="173" t="s">
        <v>260</v>
      </c>
      <c r="G209" s="173" t="s">
        <v>247</v>
      </c>
      <c r="H209" s="34" t="str">
        <f t="shared" si="2"/>
        <v>Tees Upper|Poultry|FALSE|1200to1500|FreeDrain</v>
      </c>
      <c r="I209" s="119">
        <v>0.38802612469033632</v>
      </c>
      <c r="J209" s="119">
        <v>48.696511797104527</v>
      </c>
      <c r="K209" s="34" t="str">
        <f t="shared" si="3"/>
        <v>Poultry|1200to1500</v>
      </c>
      <c r="L209" s="119">
        <f>AVERAGE(I209)</f>
        <v>0.38802612469033632</v>
      </c>
      <c r="M209" s="44">
        <f>AVERAGE(J209)</f>
        <v>48.696511797104527</v>
      </c>
      <c r="N209" s="216"/>
      <c r="O209" s="216"/>
      <c r="P209" s="112"/>
    </row>
    <row r="210" spans="2:16" x14ac:dyDescent="0.25">
      <c r="B210" s="122"/>
      <c r="C210" s="173" t="s">
        <v>261</v>
      </c>
      <c r="D210" s="173" t="s">
        <v>255</v>
      </c>
      <c r="E210" s="173" t="b">
        <v>0</v>
      </c>
      <c r="F210" s="173" t="s">
        <v>249</v>
      </c>
      <c r="G210" s="173" t="s">
        <v>247</v>
      </c>
      <c r="H210" s="34" t="str">
        <f t="shared" si="2"/>
        <v>Tees Upper|LFA|FALSE|700to900|FreeDrain</v>
      </c>
      <c r="I210" s="119">
        <v>9.5410775556750593E-2</v>
      </c>
      <c r="J210" s="119">
        <v>8.5293035076023198</v>
      </c>
      <c r="K210" s="34" t="str">
        <f t="shared" si="3"/>
        <v>LFA|700to900</v>
      </c>
      <c r="L210" s="119">
        <f>AVERAGE(I210:I211,I394)</f>
        <v>0.2012959661940926</v>
      </c>
      <c r="M210" s="44">
        <f>AVERAGE(J210:J211,J394)</f>
        <v>7.6488144338675577</v>
      </c>
      <c r="N210" s="216"/>
      <c r="O210" s="216"/>
      <c r="P210" s="112"/>
    </row>
    <row r="211" spans="2:16" x14ac:dyDescent="0.25">
      <c r="B211" s="122"/>
      <c r="C211" s="173" t="s">
        <v>261</v>
      </c>
      <c r="D211" s="173" t="s">
        <v>255</v>
      </c>
      <c r="E211" s="173" t="b">
        <v>0</v>
      </c>
      <c r="F211" s="173" t="s">
        <v>249</v>
      </c>
      <c r="G211" s="173" t="s">
        <v>248</v>
      </c>
      <c r="H211" s="34" t="str">
        <f t="shared" si="2"/>
        <v>Tees Upper|LFA|FALSE|700to900|DrainedArGr</v>
      </c>
      <c r="I211" s="119">
        <v>0.41097208281878556</v>
      </c>
      <c r="J211" s="119">
        <v>5.7721809857760187</v>
      </c>
      <c r="K211" s="34" t="str">
        <f t="shared" si="3"/>
        <v>LFA|700to900</v>
      </c>
      <c r="L211" s="119"/>
      <c r="M211" s="44"/>
      <c r="N211" s="216"/>
      <c r="O211" s="216"/>
      <c r="P211" s="112"/>
    </row>
    <row r="212" spans="2:16" x14ac:dyDescent="0.25">
      <c r="B212" s="122"/>
      <c r="C212" s="173" t="s">
        <v>261</v>
      </c>
      <c r="D212" s="173" t="s">
        <v>255</v>
      </c>
      <c r="E212" s="173" t="b">
        <v>0</v>
      </c>
      <c r="F212" s="173" t="s">
        <v>259</v>
      </c>
      <c r="G212" s="173" t="s">
        <v>247</v>
      </c>
      <c r="H212" s="34" t="str">
        <f t="shared" si="2"/>
        <v>Tees Upper|LFA|FALSE|900to1200|FreeDrain</v>
      </c>
      <c r="I212" s="119">
        <v>0.15640879637620028</v>
      </c>
      <c r="J212" s="119">
        <v>9.0551729673456798</v>
      </c>
      <c r="K212" s="34" t="str">
        <f t="shared" si="3"/>
        <v>LFA|900to1200</v>
      </c>
      <c r="L212" s="119">
        <f>AVERAGE(I212:I213,I398)</f>
        <v>0.34053678184902408</v>
      </c>
      <c r="M212" s="44">
        <f>AVERAGE(J212:J213,J398)</f>
        <v>9.1048104013322426</v>
      </c>
      <c r="N212" s="216"/>
      <c r="O212" s="216"/>
      <c r="P212" s="112"/>
    </row>
    <row r="213" spans="2:16" x14ac:dyDescent="0.25">
      <c r="B213" s="122"/>
      <c r="C213" s="173" t="s">
        <v>261</v>
      </c>
      <c r="D213" s="173" t="s">
        <v>255</v>
      </c>
      <c r="E213" s="173" t="b">
        <v>0</v>
      </c>
      <c r="F213" s="173" t="s">
        <v>259</v>
      </c>
      <c r="G213" s="173" t="s">
        <v>248</v>
      </c>
      <c r="H213" s="34" t="str">
        <f t="shared" si="2"/>
        <v>Tees Upper|LFA|FALSE|900to1200|DrainedArGr</v>
      </c>
      <c r="I213" s="119">
        <v>0.70522555833226408</v>
      </c>
      <c r="J213" s="119">
        <v>7.4176350227358485</v>
      </c>
      <c r="K213" s="34" t="str">
        <f t="shared" si="3"/>
        <v>LFA|900to1200</v>
      </c>
      <c r="L213" s="119"/>
      <c r="M213" s="44"/>
      <c r="N213" s="216"/>
      <c r="O213" s="216"/>
      <c r="P213" s="112"/>
    </row>
    <row r="214" spans="2:16" x14ac:dyDescent="0.25">
      <c r="B214" s="122"/>
      <c r="C214" s="173" t="s">
        <v>261</v>
      </c>
      <c r="D214" s="173" t="s">
        <v>255</v>
      </c>
      <c r="E214" s="173" t="b">
        <v>0</v>
      </c>
      <c r="F214" s="173" t="s">
        <v>260</v>
      </c>
      <c r="G214" s="173" t="s">
        <v>247</v>
      </c>
      <c r="H214" s="34" t="str">
        <f t="shared" si="2"/>
        <v>Tees Upper|LFA|FALSE|1200to1500|FreeDrain</v>
      </c>
      <c r="I214" s="119">
        <v>0.22688295643489512</v>
      </c>
      <c r="J214" s="119">
        <v>8.8142340035572975</v>
      </c>
      <c r="K214" s="34" t="str">
        <f t="shared" si="3"/>
        <v>LFA|1200to1500</v>
      </c>
      <c r="L214" s="119">
        <f>AVERAGE(I214:I216)</f>
        <v>0.52022661055090513</v>
      </c>
      <c r="M214" s="44">
        <f>AVERAGE(J214:J216)</f>
        <v>9.0757532872179265</v>
      </c>
      <c r="N214" s="216"/>
      <c r="O214" s="216"/>
      <c r="P214" s="112"/>
    </row>
    <row r="215" spans="2:16" x14ac:dyDescent="0.25">
      <c r="B215" s="122"/>
      <c r="C215" s="173" t="s">
        <v>261</v>
      </c>
      <c r="D215" s="173" t="s">
        <v>255</v>
      </c>
      <c r="E215" s="173" t="b">
        <v>0</v>
      </c>
      <c r="F215" s="173" t="s">
        <v>260</v>
      </c>
      <c r="G215" s="173" t="s">
        <v>245</v>
      </c>
      <c r="H215" s="34" t="str">
        <f t="shared" si="2"/>
        <v>Tees Upper|LFA|FALSE|1200to1500|DrainedAr</v>
      </c>
      <c r="I215" s="119">
        <v>0.27593477897276386</v>
      </c>
      <c r="J215" s="119">
        <v>9.4598687965642583</v>
      </c>
      <c r="K215" s="34" t="str">
        <f t="shared" si="3"/>
        <v>LFA|1200to1500</v>
      </c>
      <c r="L215" s="119"/>
      <c r="M215" s="44"/>
      <c r="N215" s="216"/>
      <c r="O215" s="216"/>
      <c r="P215" s="112"/>
    </row>
    <row r="216" spans="2:16" x14ac:dyDescent="0.25">
      <c r="B216" s="122"/>
      <c r="C216" s="173" t="s">
        <v>261</v>
      </c>
      <c r="D216" s="173" t="s">
        <v>255</v>
      </c>
      <c r="E216" s="173" t="b">
        <v>0</v>
      </c>
      <c r="F216" s="173" t="s">
        <v>260</v>
      </c>
      <c r="G216" s="173" t="s">
        <v>248</v>
      </c>
      <c r="H216" s="34" t="str">
        <f t="shared" si="2"/>
        <v>Tees Upper|LFA|FALSE|1200to1500|DrainedArGr</v>
      </c>
      <c r="I216" s="119">
        <v>1.0578620962450564</v>
      </c>
      <c r="J216" s="119">
        <v>8.9531570615322238</v>
      </c>
      <c r="K216" s="34" t="str">
        <f t="shared" si="3"/>
        <v>LFA|1200to1500</v>
      </c>
      <c r="L216" s="119"/>
      <c r="M216" s="44"/>
      <c r="N216" s="216"/>
      <c r="O216" s="216"/>
      <c r="P216" s="112"/>
    </row>
    <row r="217" spans="2:16" x14ac:dyDescent="0.25">
      <c r="B217" s="122"/>
      <c r="C217" s="173" t="s">
        <v>261</v>
      </c>
      <c r="D217" s="173" t="s">
        <v>255</v>
      </c>
      <c r="E217" s="173" t="b">
        <v>0</v>
      </c>
      <c r="F217" s="173" t="s">
        <v>262</v>
      </c>
      <c r="G217" s="173" t="s">
        <v>247</v>
      </c>
      <c r="H217" s="34" t="str">
        <f t="shared" si="2"/>
        <v>Tees Upper|LFA|FALSE|Over1500|FreeDrain</v>
      </c>
      <c r="I217" s="119">
        <v>0.36262849284453269</v>
      </c>
      <c r="J217" s="119">
        <v>8.1915275704495389</v>
      </c>
      <c r="K217" s="34" t="str">
        <f t="shared" si="3"/>
        <v>LFA|Over1500</v>
      </c>
      <c r="L217" s="119">
        <f>AVERAGE(I217)</f>
        <v>0.36262849284453269</v>
      </c>
      <c r="M217" s="44">
        <f>AVERAGE(J217)</f>
        <v>8.1915275704495389</v>
      </c>
      <c r="N217" s="216"/>
      <c r="O217" s="216"/>
      <c r="P217" s="112"/>
    </row>
    <row r="218" spans="2:16" x14ac:dyDescent="0.25">
      <c r="B218" s="122"/>
      <c r="C218" s="173" t="s">
        <v>261</v>
      </c>
      <c r="D218" s="173" t="s">
        <v>256</v>
      </c>
      <c r="E218" s="173" t="b">
        <v>0</v>
      </c>
      <c r="F218" s="173" t="s">
        <v>249</v>
      </c>
      <c r="G218" s="173" t="s">
        <v>247</v>
      </c>
      <c r="H218" s="34" t="str">
        <f t="shared" si="2"/>
        <v>Tees Upper|Lowland|FALSE|700to900|FreeDrain</v>
      </c>
      <c r="I218" s="119">
        <v>0.12175844572458813</v>
      </c>
      <c r="J218" s="119">
        <v>12.383577578433075</v>
      </c>
      <c r="K218" s="34" t="str">
        <f t="shared" si="3"/>
        <v>Lowland|700to900</v>
      </c>
      <c r="L218" s="119">
        <f>AVERAGE(I218,I413,I414)</f>
        <v>0.33566519171267212</v>
      </c>
      <c r="M218" s="44">
        <f>AVERAGE(J218,J413,J414)</f>
        <v>12.003106124164939</v>
      </c>
      <c r="N218" s="216"/>
      <c r="O218" s="216"/>
      <c r="P218" s="112"/>
    </row>
    <row r="219" spans="2:16" x14ac:dyDescent="0.25">
      <c r="B219" s="122"/>
      <c r="C219" s="173" t="s">
        <v>261</v>
      </c>
      <c r="D219" s="173" t="s">
        <v>256</v>
      </c>
      <c r="E219" s="173" t="b">
        <v>0</v>
      </c>
      <c r="F219" s="173" t="s">
        <v>259</v>
      </c>
      <c r="G219" s="173" t="s">
        <v>247</v>
      </c>
      <c r="H219" s="34" t="str">
        <f t="shared" si="2"/>
        <v>Tees Upper|Lowland|FALSE|900to1200|FreeDrain</v>
      </c>
      <c r="I219" s="119">
        <v>0.18928736779000691</v>
      </c>
      <c r="J219" s="119">
        <v>13.169725261462839</v>
      </c>
      <c r="K219" s="34" t="str">
        <f t="shared" si="3"/>
        <v>Lowland|900to1200</v>
      </c>
      <c r="L219" s="119">
        <f>AVERAGE(I219:I220)</f>
        <v>0.59725281137920405</v>
      </c>
      <c r="M219" s="44">
        <f>AVERAGE(J219:J220)</f>
        <v>11.440182691114408</v>
      </c>
      <c r="N219" s="216"/>
      <c r="O219" s="216"/>
      <c r="P219" s="112"/>
    </row>
    <row r="220" spans="2:16" x14ac:dyDescent="0.25">
      <c r="B220" s="122"/>
      <c r="C220" s="173" t="s">
        <v>261</v>
      </c>
      <c r="D220" s="173" t="s">
        <v>256</v>
      </c>
      <c r="E220" s="173" t="b">
        <v>0</v>
      </c>
      <c r="F220" s="173" t="s">
        <v>259</v>
      </c>
      <c r="G220" s="173" t="s">
        <v>248</v>
      </c>
      <c r="H220" s="34" t="str">
        <f t="shared" si="2"/>
        <v>Tees Upper|Lowland|FALSE|900to1200|DrainedArGr</v>
      </c>
      <c r="I220" s="119">
        <v>1.0052182549684012</v>
      </c>
      <c r="J220" s="119">
        <v>9.7106401207659783</v>
      </c>
      <c r="K220" s="34" t="str">
        <f t="shared" si="3"/>
        <v>Lowland|900to1200</v>
      </c>
      <c r="L220" s="119"/>
      <c r="M220" s="44"/>
      <c r="N220" s="216"/>
      <c r="O220" s="216"/>
      <c r="P220" s="112"/>
    </row>
    <row r="221" spans="2:16" x14ac:dyDescent="0.25">
      <c r="B221" s="122"/>
      <c r="C221" s="173" t="s">
        <v>261</v>
      </c>
      <c r="D221" s="173" t="s">
        <v>256</v>
      </c>
      <c r="E221" s="173" t="b">
        <v>0</v>
      </c>
      <c r="F221" s="173" t="s">
        <v>260</v>
      </c>
      <c r="G221" s="173" t="s">
        <v>247</v>
      </c>
      <c r="H221" s="34" t="str">
        <f t="shared" si="2"/>
        <v>Tees Upper|Lowland|FALSE|1200to1500|FreeDrain</v>
      </c>
      <c r="I221" s="119">
        <v>0.26398827133066183</v>
      </c>
      <c r="J221" s="119">
        <v>12.771533041380337</v>
      </c>
      <c r="K221" s="34" t="str">
        <f t="shared" si="3"/>
        <v>Lowland|1200to1500</v>
      </c>
      <c r="L221" s="119">
        <f>AVERAGE(I221:I222)</f>
        <v>0.87514644968967248</v>
      </c>
      <c r="M221" s="44">
        <f>AVERAGE(J221:J222)</f>
        <v>12.444148386298536</v>
      </c>
      <c r="N221" s="216"/>
      <c r="O221" s="216"/>
      <c r="P221" s="112"/>
    </row>
    <row r="222" spans="2:16" x14ac:dyDescent="0.25">
      <c r="B222" s="122"/>
      <c r="C222" s="173" t="s">
        <v>261</v>
      </c>
      <c r="D222" s="173" t="s">
        <v>256</v>
      </c>
      <c r="E222" s="173" t="b">
        <v>0</v>
      </c>
      <c r="F222" s="173" t="s">
        <v>260</v>
      </c>
      <c r="G222" s="173" t="s">
        <v>248</v>
      </c>
      <c r="H222" s="34" t="str">
        <f t="shared" si="2"/>
        <v>Tees Upper|Lowland|FALSE|1200to1500|DrainedArGr</v>
      </c>
      <c r="I222" s="119">
        <v>1.4863046280486831</v>
      </c>
      <c r="J222" s="119">
        <v>12.116763731216738</v>
      </c>
      <c r="K222" s="34" t="str">
        <f t="shared" si="3"/>
        <v>Lowland|1200to1500</v>
      </c>
      <c r="L222" s="119"/>
      <c r="M222" s="44"/>
      <c r="N222" s="216"/>
      <c r="O222" s="216"/>
      <c r="P222" s="112"/>
    </row>
    <row r="223" spans="2:16" x14ac:dyDescent="0.25">
      <c r="B223" s="122"/>
      <c r="C223" s="173" t="s">
        <v>261</v>
      </c>
      <c r="D223" s="173" t="s">
        <v>257</v>
      </c>
      <c r="E223" s="173" t="b">
        <v>0</v>
      </c>
      <c r="F223" s="173" t="s">
        <v>249</v>
      </c>
      <c r="G223" s="173" t="s">
        <v>247</v>
      </c>
      <c r="H223" s="34" t="str">
        <f t="shared" si="2"/>
        <v>Tees Upper|Mixed|FALSE|700to900|FreeDrain</v>
      </c>
      <c r="I223" s="119">
        <v>0.20388911790282699</v>
      </c>
      <c r="J223" s="119">
        <v>36.374117379847213</v>
      </c>
      <c r="K223" s="34" t="str">
        <f t="shared" si="3"/>
        <v>Mixed|700to900</v>
      </c>
      <c r="L223" s="119">
        <f>AVERAGE(I223:I224,I428)</f>
        <v>0.5489573064724792</v>
      </c>
      <c r="M223" s="44">
        <f>AVERAGE(J223:J224,J428)</f>
        <v>25.846612250610217</v>
      </c>
      <c r="N223" s="216"/>
      <c r="O223" s="216"/>
      <c r="P223" s="112"/>
    </row>
    <row r="224" spans="2:16" x14ac:dyDescent="0.25">
      <c r="B224" s="122"/>
      <c r="C224" s="173" t="s">
        <v>261</v>
      </c>
      <c r="D224" s="173" t="s">
        <v>257</v>
      </c>
      <c r="E224" s="173" t="b">
        <v>0</v>
      </c>
      <c r="F224" s="173" t="s">
        <v>249</v>
      </c>
      <c r="G224" s="173" t="s">
        <v>248</v>
      </c>
      <c r="H224" s="34" t="str">
        <f t="shared" si="2"/>
        <v>Tees Upper|Mixed|FALSE|700to900|DrainedArGr</v>
      </c>
      <c r="I224" s="119">
        <v>0.99398839207579603</v>
      </c>
      <c r="J224" s="119">
        <v>17.487186330469154</v>
      </c>
      <c r="K224" s="34" t="str">
        <f t="shared" si="3"/>
        <v>Mixed|700to900</v>
      </c>
      <c r="L224" s="119"/>
      <c r="M224" s="44"/>
      <c r="N224" s="216"/>
      <c r="O224" s="216"/>
      <c r="P224" s="112"/>
    </row>
    <row r="225" spans="2:16" x14ac:dyDescent="0.25">
      <c r="B225" s="122"/>
      <c r="C225" s="173" t="s">
        <v>261</v>
      </c>
      <c r="D225" s="173" t="s">
        <v>257</v>
      </c>
      <c r="E225" s="173" t="b">
        <v>0</v>
      </c>
      <c r="F225" s="173" t="s">
        <v>259</v>
      </c>
      <c r="G225" s="173" t="s">
        <v>247</v>
      </c>
      <c r="H225" s="34" t="str">
        <f t="shared" si="2"/>
        <v>Tees Upper|Mixed|FALSE|900to1200|FreeDrain</v>
      </c>
      <c r="I225" s="119">
        <v>0.3024999832464812</v>
      </c>
      <c r="J225" s="119">
        <v>38.276196077855516</v>
      </c>
      <c r="K225" s="34" t="str">
        <f t="shared" si="3"/>
        <v>Mixed|900to1200</v>
      </c>
      <c r="L225" s="119">
        <f>AVERAGE(I225:I226)</f>
        <v>0.93952258681924883</v>
      </c>
      <c r="M225" s="44">
        <f>AVERAGE(J225:J226)</f>
        <v>29.999422592996972</v>
      </c>
      <c r="N225" s="216"/>
      <c r="O225" s="216"/>
      <c r="P225" s="112"/>
    </row>
    <row r="226" spans="2:16" x14ac:dyDescent="0.25">
      <c r="B226" s="122"/>
      <c r="C226" s="173" t="s">
        <v>261</v>
      </c>
      <c r="D226" s="173" t="s">
        <v>257</v>
      </c>
      <c r="E226" s="173" t="b">
        <v>0</v>
      </c>
      <c r="F226" s="173" t="s">
        <v>259</v>
      </c>
      <c r="G226" s="173" t="s">
        <v>248</v>
      </c>
      <c r="H226" s="34" t="str">
        <f t="shared" si="2"/>
        <v>Tees Upper|Mixed|FALSE|900to1200|DrainedArGr</v>
      </c>
      <c r="I226" s="119">
        <v>1.5765451903920165</v>
      </c>
      <c r="J226" s="119">
        <v>21.722649108138423</v>
      </c>
      <c r="K226" s="34" t="str">
        <f t="shared" si="3"/>
        <v>Mixed|900to1200</v>
      </c>
      <c r="L226" s="119"/>
      <c r="M226" s="44"/>
      <c r="N226" s="216"/>
      <c r="O226" s="216"/>
      <c r="P226" s="112"/>
    </row>
    <row r="227" spans="2:16" x14ac:dyDescent="0.25">
      <c r="B227" s="122"/>
      <c r="C227" s="173" t="s">
        <v>263</v>
      </c>
      <c r="D227" s="173" t="s">
        <v>243</v>
      </c>
      <c r="E227" s="173" t="b">
        <v>0</v>
      </c>
      <c r="F227" s="173" t="s">
        <v>246</v>
      </c>
      <c r="G227" s="173" t="s">
        <v>247</v>
      </c>
      <c r="H227" s="34" t="str">
        <f t="shared" ref="H227:H290" si="4">C227&amp;"|"&amp;D227&amp;"|"&amp;E227&amp;"|"&amp;F227&amp;"|"&amp;G227</f>
        <v>Skerne|Cereals|FALSE|600to700|FreeDrain</v>
      </c>
      <c r="I227" s="119">
        <v>5.7494851200248637E-2</v>
      </c>
      <c r="J227" s="119">
        <v>26.074786970936124</v>
      </c>
      <c r="K227" s="34" t="str">
        <f t="shared" ref="K227:K290" si="5">D227&amp;"|"&amp;F227</f>
        <v>Cereals|600to700</v>
      </c>
      <c r="L227" s="119">
        <f>AVERAGE(I227,I229,I230)</f>
        <v>0.30491821730310487</v>
      </c>
      <c r="M227" s="44">
        <f>AVERAGE(J227,J229,J230)</f>
        <v>22.028011076070076</v>
      </c>
      <c r="N227" s="216"/>
      <c r="O227" s="216"/>
      <c r="P227" s="112"/>
    </row>
    <row r="228" spans="2:16" x14ac:dyDescent="0.25">
      <c r="B228" s="122"/>
      <c r="C228" s="173" t="s">
        <v>263</v>
      </c>
      <c r="D228" s="173" t="s">
        <v>243</v>
      </c>
      <c r="E228" s="173" t="b">
        <v>1</v>
      </c>
      <c r="F228" s="173" t="s">
        <v>246</v>
      </c>
      <c r="G228" s="173" t="s">
        <v>247</v>
      </c>
      <c r="H228" s="34" t="str">
        <f t="shared" si="4"/>
        <v>Skerne|Cereals|TRUE|600to700|FreeDrain</v>
      </c>
      <c r="I228" s="119">
        <v>5.7486404279391501E-2</v>
      </c>
      <c r="J228" s="119">
        <v>25.989396272167248</v>
      </c>
      <c r="K228" s="34" t="str">
        <f t="shared" si="5"/>
        <v>Cereals|600to700</v>
      </c>
      <c r="L228" s="119"/>
      <c r="M228" s="44"/>
      <c r="N228" s="216"/>
      <c r="O228" s="216"/>
      <c r="P228" s="112"/>
    </row>
    <row r="229" spans="2:16" x14ac:dyDescent="0.25">
      <c r="B229" s="122"/>
      <c r="C229" s="173" t="s">
        <v>263</v>
      </c>
      <c r="D229" s="173" t="s">
        <v>243</v>
      </c>
      <c r="E229" s="173" t="b">
        <v>1</v>
      </c>
      <c r="F229" s="173" t="s">
        <v>246</v>
      </c>
      <c r="G229" s="173" t="s">
        <v>245</v>
      </c>
      <c r="H229" s="34" t="str">
        <f t="shared" si="4"/>
        <v>Skerne|Cereals|TRUE|600to700|DrainedAr</v>
      </c>
      <c r="I229" s="119">
        <v>0.3196569309328961</v>
      </c>
      <c r="J229" s="119">
        <v>19.240591112369934</v>
      </c>
      <c r="K229" s="34" t="str">
        <f t="shared" si="5"/>
        <v>Cereals|600to700</v>
      </c>
      <c r="L229" s="119"/>
      <c r="M229" s="44"/>
      <c r="N229" s="216"/>
      <c r="O229" s="216"/>
      <c r="P229" s="112"/>
    </row>
    <row r="230" spans="2:16" x14ac:dyDescent="0.25">
      <c r="B230" s="122"/>
      <c r="C230" s="173" t="s">
        <v>263</v>
      </c>
      <c r="D230" s="173" t="s">
        <v>243</v>
      </c>
      <c r="E230" s="173" t="b">
        <v>0</v>
      </c>
      <c r="F230" s="173" t="s">
        <v>246</v>
      </c>
      <c r="G230" s="173" t="s">
        <v>248</v>
      </c>
      <c r="H230" s="34" t="str">
        <f t="shared" si="4"/>
        <v>Skerne|Cereals|FALSE|600to700|DrainedArGr</v>
      </c>
      <c r="I230" s="119">
        <v>0.53760286977616989</v>
      </c>
      <c r="J230" s="119">
        <v>20.768655144904169</v>
      </c>
      <c r="K230" s="34" t="str">
        <f t="shared" si="5"/>
        <v>Cereals|600to700</v>
      </c>
      <c r="L230" s="119"/>
      <c r="M230" s="44"/>
      <c r="N230" s="216"/>
      <c r="O230" s="216"/>
      <c r="P230" s="112"/>
    </row>
    <row r="231" spans="2:16" x14ac:dyDescent="0.25">
      <c r="B231" s="122"/>
      <c r="C231" s="173" t="s">
        <v>263</v>
      </c>
      <c r="D231" s="173" t="s">
        <v>243</v>
      </c>
      <c r="E231" s="173" t="b">
        <v>1</v>
      </c>
      <c r="F231" s="173" t="s">
        <v>246</v>
      </c>
      <c r="G231" s="173" t="s">
        <v>248</v>
      </c>
      <c r="H231" s="34" t="str">
        <f t="shared" si="4"/>
        <v>Skerne|Cereals|TRUE|600to700|DrainedArGr</v>
      </c>
      <c r="I231" s="119">
        <v>0.53749006882531025</v>
      </c>
      <c r="J231" s="119">
        <v>20.708856252695494</v>
      </c>
      <c r="K231" s="34" t="str">
        <f t="shared" si="5"/>
        <v>Cereals|600to700</v>
      </c>
      <c r="L231" s="119"/>
      <c r="M231" s="44"/>
      <c r="N231" s="216"/>
      <c r="O231" s="216"/>
      <c r="P231" s="112"/>
    </row>
    <row r="232" spans="2:16" x14ac:dyDescent="0.25">
      <c r="B232" s="122"/>
      <c r="C232" s="173" t="s">
        <v>263</v>
      </c>
      <c r="D232" s="173" t="s">
        <v>243</v>
      </c>
      <c r="E232" s="173" t="b">
        <v>1</v>
      </c>
      <c r="F232" s="173" t="s">
        <v>249</v>
      </c>
      <c r="G232" s="173" t="s">
        <v>248</v>
      </c>
      <c r="H232" s="34" t="str">
        <f t="shared" si="4"/>
        <v>Skerne|Cereals|TRUE|700to900|DrainedArGr</v>
      </c>
      <c r="I232" s="119">
        <v>0.95570234475322313</v>
      </c>
      <c r="J232" s="119">
        <v>22.853462081716991</v>
      </c>
      <c r="K232" s="34" t="str">
        <f t="shared" si="5"/>
        <v>Cereals|700to900</v>
      </c>
      <c r="L232" s="119">
        <f>AVERAGE(I232,I329,I328)</f>
        <v>0.58599390865438539</v>
      </c>
      <c r="M232" s="44">
        <f>AVERAGE(J232,J329,J328)</f>
        <v>25.098682601946432</v>
      </c>
      <c r="N232" s="216"/>
      <c r="O232" s="216"/>
      <c r="P232" s="112"/>
    </row>
    <row r="233" spans="2:16" x14ac:dyDescent="0.25">
      <c r="B233" s="122"/>
      <c r="C233" s="173" t="s">
        <v>263</v>
      </c>
      <c r="D233" s="173" t="s">
        <v>250</v>
      </c>
      <c r="E233" s="173" t="b">
        <v>1</v>
      </c>
      <c r="F233" s="173" t="s">
        <v>246</v>
      </c>
      <c r="G233" s="173" t="s">
        <v>247</v>
      </c>
      <c r="H233" s="34" t="str">
        <f t="shared" si="4"/>
        <v>Skerne|General|TRUE|600to700|FreeDrain</v>
      </c>
      <c r="I233" s="119">
        <v>4.8828153697469311E-2</v>
      </c>
      <c r="J233" s="119">
        <v>22.671675345216496</v>
      </c>
      <c r="K233" s="34" t="str">
        <f t="shared" si="5"/>
        <v>General|600to700</v>
      </c>
      <c r="L233" s="119">
        <f>AVERAGE(I233:I234,I338)</f>
        <v>0.23503283548906909</v>
      </c>
      <c r="M233" s="44">
        <f>AVERAGE(J233:J234,J338)</f>
        <v>17.408563862083984</v>
      </c>
      <c r="N233" s="216"/>
      <c r="O233" s="216"/>
      <c r="P233" s="112"/>
    </row>
    <row r="234" spans="2:16" x14ac:dyDescent="0.25">
      <c r="B234" s="122"/>
      <c r="C234" s="173" t="s">
        <v>263</v>
      </c>
      <c r="D234" s="173" t="s">
        <v>250</v>
      </c>
      <c r="E234" s="173" t="b">
        <v>0</v>
      </c>
      <c r="F234" s="173" t="s">
        <v>246</v>
      </c>
      <c r="G234" s="173" t="s">
        <v>248</v>
      </c>
      <c r="H234" s="34" t="str">
        <f t="shared" si="4"/>
        <v>Skerne|General|FALSE|600to700|DrainedArGr</v>
      </c>
      <c r="I234" s="119">
        <v>0.45775180058245662</v>
      </c>
      <c r="J234" s="119">
        <v>16.878131644558774</v>
      </c>
      <c r="K234" s="34" t="str">
        <f t="shared" si="5"/>
        <v>General|600to700</v>
      </c>
      <c r="L234" s="119"/>
      <c r="M234" s="44"/>
      <c r="N234" s="216"/>
      <c r="O234" s="216"/>
      <c r="P234" s="112"/>
    </row>
    <row r="235" spans="2:16" x14ac:dyDescent="0.25">
      <c r="B235" s="122"/>
      <c r="C235" s="173" t="s">
        <v>263</v>
      </c>
      <c r="D235" s="173" t="s">
        <v>250</v>
      </c>
      <c r="E235" s="173" t="b">
        <v>1</v>
      </c>
      <c r="F235" s="173" t="s">
        <v>246</v>
      </c>
      <c r="G235" s="173" t="s">
        <v>248</v>
      </c>
      <c r="H235" s="34" t="str">
        <f t="shared" si="4"/>
        <v>Skerne|General|TRUE|600to700|DrainedArGr</v>
      </c>
      <c r="I235" s="119">
        <v>0.45775180058245662</v>
      </c>
      <c r="J235" s="119">
        <v>16.837140614710187</v>
      </c>
      <c r="K235" s="34" t="str">
        <f t="shared" si="5"/>
        <v>General|600to700</v>
      </c>
      <c r="L235" s="119"/>
      <c r="M235" s="44"/>
      <c r="N235" s="216"/>
      <c r="O235" s="216"/>
      <c r="P235" s="112"/>
    </row>
    <row r="236" spans="2:16" x14ac:dyDescent="0.25">
      <c r="B236" s="122"/>
      <c r="C236" s="173" t="s">
        <v>263</v>
      </c>
      <c r="D236" s="173" t="s">
        <v>253</v>
      </c>
      <c r="E236" s="173" t="b">
        <v>0</v>
      </c>
      <c r="F236" s="173" t="s">
        <v>246</v>
      </c>
      <c r="G236" s="173" t="s">
        <v>247</v>
      </c>
      <c r="H236" s="34" t="str">
        <f t="shared" si="4"/>
        <v>Skerne|Poultry|FALSE|600to700|FreeDrain</v>
      </c>
      <c r="I236" s="119">
        <v>7.0466504641126249E-2</v>
      </c>
      <c r="J236" s="119">
        <v>58.207788211665076</v>
      </c>
      <c r="K236" s="34" t="str">
        <f t="shared" si="5"/>
        <v>Poultry|600to700</v>
      </c>
      <c r="L236" s="119">
        <f>AVERAGE(I236,I238,I239)</f>
        <v>0.26293719232342044</v>
      </c>
      <c r="M236" s="44">
        <f>AVERAGE(J236,J238,J239)</f>
        <v>43.679972452952562</v>
      </c>
      <c r="N236" s="216"/>
      <c r="O236" s="216"/>
      <c r="P236" s="112"/>
    </row>
    <row r="237" spans="2:16" x14ac:dyDescent="0.25">
      <c r="B237" s="122"/>
      <c r="C237" s="173" t="s">
        <v>263</v>
      </c>
      <c r="D237" s="173" t="s">
        <v>253</v>
      </c>
      <c r="E237" s="173" t="b">
        <v>1</v>
      </c>
      <c r="F237" s="173" t="s">
        <v>246</v>
      </c>
      <c r="G237" s="173" t="s">
        <v>247</v>
      </c>
      <c r="H237" s="34" t="str">
        <f t="shared" si="4"/>
        <v>Skerne|Poultry|TRUE|600to700|FreeDrain</v>
      </c>
      <c r="I237" s="119">
        <v>6.9382548090611451E-2</v>
      </c>
      <c r="J237" s="119">
        <v>58.396976547191564</v>
      </c>
      <c r="K237" s="34" t="str">
        <f t="shared" si="5"/>
        <v>Poultry|600to700</v>
      </c>
      <c r="L237" s="119"/>
      <c r="M237" s="44"/>
      <c r="N237" s="216"/>
      <c r="O237" s="216"/>
      <c r="P237" s="112"/>
    </row>
    <row r="238" spans="2:16" x14ac:dyDescent="0.25">
      <c r="B238" s="122"/>
      <c r="C238" s="173" t="s">
        <v>263</v>
      </c>
      <c r="D238" s="173" t="s">
        <v>253</v>
      </c>
      <c r="E238" s="173" t="b">
        <v>1</v>
      </c>
      <c r="F238" s="173" t="s">
        <v>246</v>
      </c>
      <c r="G238" s="173" t="s">
        <v>245</v>
      </c>
      <c r="H238" s="34" t="str">
        <f t="shared" si="4"/>
        <v>Skerne|Poultry|TRUE|600to700|DrainedAr</v>
      </c>
      <c r="I238" s="119">
        <v>0.2473777781912464</v>
      </c>
      <c r="J238" s="119">
        <v>37.478576788137708</v>
      </c>
      <c r="K238" s="34" t="str">
        <f t="shared" si="5"/>
        <v>Poultry|600to700</v>
      </c>
      <c r="L238" s="119"/>
      <c r="M238" s="44"/>
      <c r="N238" s="216"/>
      <c r="O238" s="216"/>
      <c r="P238" s="112"/>
    </row>
    <row r="239" spans="2:16" x14ac:dyDescent="0.25">
      <c r="B239" s="122"/>
      <c r="C239" s="173" t="s">
        <v>263</v>
      </c>
      <c r="D239" s="173" t="s">
        <v>253</v>
      </c>
      <c r="E239" s="173" t="b">
        <v>1</v>
      </c>
      <c r="F239" s="173" t="s">
        <v>246</v>
      </c>
      <c r="G239" s="173" t="s">
        <v>248</v>
      </c>
      <c r="H239" s="34" t="str">
        <f t="shared" si="4"/>
        <v>Skerne|Poultry|TRUE|600to700|DrainedArGr</v>
      </c>
      <c r="I239" s="119">
        <v>0.47096729413788868</v>
      </c>
      <c r="J239" s="119">
        <v>35.353552359054916</v>
      </c>
      <c r="K239" s="34" t="str">
        <f t="shared" si="5"/>
        <v>Poultry|600to700</v>
      </c>
      <c r="L239" s="119"/>
      <c r="M239" s="44"/>
      <c r="N239" s="216"/>
      <c r="O239" s="216"/>
      <c r="P239" s="112"/>
    </row>
    <row r="240" spans="2:16" x14ac:dyDescent="0.25">
      <c r="B240" s="122"/>
      <c r="C240" s="173" t="s">
        <v>263</v>
      </c>
      <c r="D240" s="173" t="s">
        <v>253</v>
      </c>
      <c r="E240" s="173" t="b">
        <v>1</v>
      </c>
      <c r="F240" s="173" t="s">
        <v>249</v>
      </c>
      <c r="G240" s="173" t="s">
        <v>245</v>
      </c>
      <c r="H240" s="34" t="str">
        <f t="shared" si="4"/>
        <v>Skerne|Poultry|TRUE|700to900|DrainedAr</v>
      </c>
      <c r="I240" s="119">
        <v>0.52689810944017801</v>
      </c>
      <c r="J240" s="119">
        <v>46.757659117844149</v>
      </c>
      <c r="K240" s="34" t="str">
        <f t="shared" si="5"/>
        <v>Poultry|700to900</v>
      </c>
      <c r="L240" s="119">
        <f>AVERAGE(I240:I241)</f>
        <v>0.67857788794155849</v>
      </c>
      <c r="M240" s="44">
        <f>AVERAGE(J240:J241)</f>
        <v>42.517648289015398</v>
      </c>
      <c r="N240" s="216"/>
      <c r="O240" s="216"/>
      <c r="P240" s="112"/>
    </row>
    <row r="241" spans="2:16" x14ac:dyDescent="0.25">
      <c r="B241" s="122"/>
      <c r="C241" s="173" t="s">
        <v>263</v>
      </c>
      <c r="D241" s="173" t="s">
        <v>253</v>
      </c>
      <c r="E241" s="173" t="b">
        <v>1</v>
      </c>
      <c r="F241" s="173" t="s">
        <v>249</v>
      </c>
      <c r="G241" s="173" t="s">
        <v>248</v>
      </c>
      <c r="H241" s="34" t="str">
        <f t="shared" si="4"/>
        <v>Skerne|Poultry|TRUE|700to900|DrainedArGr</v>
      </c>
      <c r="I241" s="119">
        <v>0.83025766644293886</v>
      </c>
      <c r="J241" s="119">
        <v>38.277637460186646</v>
      </c>
      <c r="K241" s="34" t="str">
        <f t="shared" si="5"/>
        <v>Poultry|700to900</v>
      </c>
      <c r="L241" s="119"/>
      <c r="M241" s="44"/>
      <c r="N241" s="216"/>
      <c r="O241" s="216"/>
      <c r="P241" s="112"/>
    </row>
    <row r="242" spans="2:16" x14ac:dyDescent="0.25">
      <c r="B242" s="122"/>
      <c r="C242" s="173" t="s">
        <v>263</v>
      </c>
      <c r="D242" s="173" t="s">
        <v>254</v>
      </c>
      <c r="E242" s="173" t="b">
        <v>1</v>
      </c>
      <c r="F242" s="173" t="s">
        <v>246</v>
      </c>
      <c r="G242" s="173" t="s">
        <v>248</v>
      </c>
      <c r="H242" s="34" t="str">
        <f t="shared" si="4"/>
        <v>Skerne|Dairy|TRUE|600to700|DrainedArGr</v>
      </c>
      <c r="I242" s="119">
        <v>0.96763763050147833</v>
      </c>
      <c r="J242" s="119">
        <v>19.312948200406286</v>
      </c>
      <c r="K242" s="34" t="str">
        <f t="shared" si="5"/>
        <v>Dairy|600to700</v>
      </c>
      <c r="L242" s="119">
        <f>AVERAGE(I242,I377:I378)</f>
        <v>0.42384731303863871</v>
      </c>
      <c r="M242" s="44">
        <f>AVERAGE(J242,J377:J378)</f>
        <v>22.82146558823581</v>
      </c>
      <c r="N242" s="216"/>
      <c r="O242" s="216"/>
      <c r="P242" s="112"/>
    </row>
    <row r="243" spans="2:16" x14ac:dyDescent="0.25">
      <c r="B243" s="122"/>
      <c r="C243" s="173" t="s">
        <v>263</v>
      </c>
      <c r="D243" s="173" t="s">
        <v>254</v>
      </c>
      <c r="E243" s="173" t="b">
        <v>1</v>
      </c>
      <c r="F243" s="173" t="s">
        <v>249</v>
      </c>
      <c r="G243" s="173" t="s">
        <v>247</v>
      </c>
      <c r="H243" s="34" t="str">
        <f t="shared" si="4"/>
        <v>Skerne|Dairy|TRUE|700to900|FreeDrain</v>
      </c>
      <c r="I243" s="119">
        <v>0.21984967314165893</v>
      </c>
      <c r="J243" s="119">
        <v>54.088587045842949</v>
      </c>
      <c r="K243" s="34" t="str">
        <f t="shared" si="5"/>
        <v>Dairy|700to900</v>
      </c>
      <c r="L243" s="119">
        <f>AVERAGE(I243,I384:I385)</f>
        <v>0.55480159493025771</v>
      </c>
      <c r="M243" s="44">
        <f>AVERAGE(J243,J384:J385)</f>
        <v>35.018057703817682</v>
      </c>
      <c r="N243" s="216"/>
      <c r="O243" s="216"/>
      <c r="P243" s="112"/>
    </row>
    <row r="244" spans="2:16" x14ac:dyDescent="0.25">
      <c r="B244" s="122"/>
      <c r="C244" s="173" t="s">
        <v>263</v>
      </c>
      <c r="D244" s="173" t="s">
        <v>256</v>
      </c>
      <c r="E244" s="173" t="b">
        <v>1</v>
      </c>
      <c r="F244" s="173" t="s">
        <v>246</v>
      </c>
      <c r="G244" s="173" t="s">
        <v>247</v>
      </c>
      <c r="H244" s="34" t="str">
        <f t="shared" si="4"/>
        <v>Skerne|Lowland|TRUE|600to700|FreeDrain</v>
      </c>
      <c r="I244" s="119">
        <v>8.2187472897884556E-2</v>
      </c>
      <c r="J244" s="119">
        <v>15.539691827062134</v>
      </c>
      <c r="K244" s="34" t="str">
        <f t="shared" si="5"/>
        <v>Lowland|600to700</v>
      </c>
      <c r="L244" s="119">
        <f>AVERAGE(I244:I246)</f>
        <v>0.26286584520038031</v>
      </c>
      <c r="M244" s="44">
        <f>AVERAGE(J244:J246)</f>
        <v>12.117573614112708</v>
      </c>
      <c r="N244" s="216"/>
      <c r="O244" s="216"/>
      <c r="P244" s="112"/>
    </row>
    <row r="245" spans="2:16" x14ac:dyDescent="0.25">
      <c r="B245" s="122"/>
      <c r="C245" s="173" t="s">
        <v>263</v>
      </c>
      <c r="D245" s="173" t="s">
        <v>256</v>
      </c>
      <c r="E245" s="173" t="b">
        <v>1</v>
      </c>
      <c r="F245" s="173" t="s">
        <v>246</v>
      </c>
      <c r="G245" s="173" t="s">
        <v>245</v>
      </c>
      <c r="H245" s="34" t="str">
        <f t="shared" si="4"/>
        <v>Skerne|Lowland|TRUE|600to700|DrainedAr</v>
      </c>
      <c r="I245" s="119">
        <v>0.13420682644897272</v>
      </c>
      <c r="J245" s="119">
        <v>10.521411827154854</v>
      </c>
      <c r="K245" s="34" t="str">
        <f t="shared" si="5"/>
        <v>Lowland|600to700</v>
      </c>
      <c r="L245" s="119"/>
      <c r="M245" s="44"/>
      <c r="N245" s="216"/>
      <c r="O245" s="216"/>
      <c r="P245" s="112"/>
    </row>
    <row r="246" spans="2:16" x14ac:dyDescent="0.25">
      <c r="B246" s="122"/>
      <c r="C246" s="173" t="s">
        <v>263</v>
      </c>
      <c r="D246" s="173" t="s">
        <v>256</v>
      </c>
      <c r="E246" s="173" t="b">
        <v>0</v>
      </c>
      <c r="F246" s="173" t="s">
        <v>246</v>
      </c>
      <c r="G246" s="173" t="s">
        <v>248</v>
      </c>
      <c r="H246" s="34" t="str">
        <f t="shared" si="4"/>
        <v>Skerne|Lowland|FALSE|600to700|DrainedArGr</v>
      </c>
      <c r="I246" s="119">
        <v>0.57220323625428371</v>
      </c>
      <c r="J246" s="119">
        <v>10.291617188121135</v>
      </c>
      <c r="K246" s="34" t="str">
        <f t="shared" si="5"/>
        <v>Lowland|600to700</v>
      </c>
      <c r="L246" s="119"/>
      <c r="M246" s="44"/>
      <c r="N246" s="216"/>
      <c r="O246" s="216"/>
      <c r="P246" s="112"/>
    </row>
    <row r="247" spans="2:16" x14ac:dyDescent="0.25">
      <c r="B247" s="122"/>
      <c r="C247" s="173" t="s">
        <v>263</v>
      </c>
      <c r="D247" s="173" t="s">
        <v>256</v>
      </c>
      <c r="E247" s="173" t="b">
        <v>1</v>
      </c>
      <c r="F247" s="173" t="s">
        <v>246</v>
      </c>
      <c r="G247" s="173" t="s">
        <v>248</v>
      </c>
      <c r="H247" s="34" t="str">
        <f t="shared" si="4"/>
        <v>Skerne|Lowland|TRUE|600to700|DrainedArGr</v>
      </c>
      <c r="I247" s="119">
        <v>0.57217622376667798</v>
      </c>
      <c r="J247" s="119">
        <v>10.268547065905027</v>
      </c>
      <c r="K247" s="34" t="str">
        <f t="shared" si="5"/>
        <v>Lowland|600to700</v>
      </c>
      <c r="L247" s="119"/>
      <c r="M247" s="44"/>
      <c r="N247" s="216"/>
      <c r="O247" s="216"/>
      <c r="P247" s="112"/>
    </row>
    <row r="248" spans="2:16" x14ac:dyDescent="0.25">
      <c r="B248" s="122"/>
      <c r="C248" s="173" t="s">
        <v>263</v>
      </c>
      <c r="D248" s="173" t="s">
        <v>256</v>
      </c>
      <c r="E248" s="173" t="b">
        <v>1</v>
      </c>
      <c r="F248" s="173" t="s">
        <v>249</v>
      </c>
      <c r="G248" s="173" t="s">
        <v>248</v>
      </c>
      <c r="H248" s="34" t="str">
        <f t="shared" si="4"/>
        <v>Skerne|Lowland|TRUE|700to900|DrainedArGr</v>
      </c>
      <c r="I248" s="119">
        <v>0.88319690730463829</v>
      </c>
      <c r="J248" s="119">
        <v>12.635774396212607</v>
      </c>
      <c r="K248" s="34" t="str">
        <f t="shared" si="5"/>
        <v>Lowland|700to900</v>
      </c>
      <c r="L248" s="119">
        <f>AVERAGE(I248,I412:I413)</f>
        <v>0.39233389380513389</v>
      </c>
      <c r="M248" s="44">
        <f>AVERAGE(J248,J412:J413)</f>
        <v>14.509668500778409</v>
      </c>
      <c r="N248" s="216"/>
      <c r="O248" s="216"/>
      <c r="P248" s="112"/>
    </row>
    <row r="249" spans="2:16" x14ac:dyDescent="0.25">
      <c r="B249" s="122"/>
      <c r="C249" s="173" t="s">
        <v>263</v>
      </c>
      <c r="D249" s="173" t="s">
        <v>257</v>
      </c>
      <c r="E249" s="173" t="b">
        <v>1</v>
      </c>
      <c r="F249" s="173" t="s">
        <v>246</v>
      </c>
      <c r="G249" s="173" t="s">
        <v>247</v>
      </c>
      <c r="H249" s="34" t="str">
        <f t="shared" si="4"/>
        <v>Skerne|Mixed|TRUE|600to700|FreeDrain</v>
      </c>
      <c r="I249" s="119">
        <v>7.4253213149565664E-2</v>
      </c>
      <c r="J249" s="119">
        <v>27.640961921199249</v>
      </c>
      <c r="K249" s="34" t="str">
        <f t="shared" si="5"/>
        <v>Mixed|600to700</v>
      </c>
      <c r="L249" s="119">
        <f>AVERAGE(I249:I251)</f>
        <v>0.31603799550257367</v>
      </c>
      <c r="M249" s="44">
        <f>AVERAGE(J249:J251)</f>
        <v>22.210506642027884</v>
      </c>
      <c r="N249" s="216"/>
      <c r="O249" s="216"/>
      <c r="P249" s="112"/>
    </row>
    <row r="250" spans="2:16" x14ac:dyDescent="0.25">
      <c r="B250" s="122"/>
      <c r="C250" s="173" t="s">
        <v>263</v>
      </c>
      <c r="D250" s="173" t="s">
        <v>257</v>
      </c>
      <c r="E250" s="173" t="b">
        <v>1</v>
      </c>
      <c r="F250" s="173" t="s">
        <v>246</v>
      </c>
      <c r="G250" s="173" t="s">
        <v>245</v>
      </c>
      <c r="H250" s="34" t="str">
        <f t="shared" si="4"/>
        <v>Skerne|Mixed|TRUE|600to700|DrainedAr</v>
      </c>
      <c r="I250" s="119">
        <v>0.25715432867797416</v>
      </c>
      <c r="J250" s="119">
        <v>19.432003789524082</v>
      </c>
      <c r="K250" s="34" t="str">
        <f t="shared" si="5"/>
        <v>Mixed|600to700</v>
      </c>
      <c r="L250" s="119"/>
      <c r="M250" s="44"/>
      <c r="N250" s="216"/>
      <c r="O250" s="216"/>
      <c r="P250" s="112"/>
    </row>
    <row r="251" spans="2:16" x14ac:dyDescent="0.25">
      <c r="B251" s="122"/>
      <c r="C251" s="173" t="s">
        <v>263</v>
      </c>
      <c r="D251" s="173" t="s">
        <v>257</v>
      </c>
      <c r="E251" s="173" t="b">
        <v>1</v>
      </c>
      <c r="F251" s="173" t="s">
        <v>246</v>
      </c>
      <c r="G251" s="173" t="s">
        <v>248</v>
      </c>
      <c r="H251" s="34" t="str">
        <f t="shared" si="4"/>
        <v>Skerne|Mixed|TRUE|600to700|DrainedArGr</v>
      </c>
      <c r="I251" s="119">
        <v>0.61670644468018121</v>
      </c>
      <c r="J251" s="119">
        <v>19.558554215360324</v>
      </c>
      <c r="K251" s="34" t="str">
        <f t="shared" si="5"/>
        <v>Mixed|600to700</v>
      </c>
      <c r="L251" s="119"/>
      <c r="M251" s="44"/>
      <c r="N251" s="216"/>
      <c r="O251" s="216"/>
      <c r="P251" s="112"/>
    </row>
    <row r="252" spans="2:16" x14ac:dyDescent="0.25">
      <c r="B252" s="122"/>
      <c r="C252" s="173" t="s">
        <v>263</v>
      </c>
      <c r="D252" s="173" t="s">
        <v>257</v>
      </c>
      <c r="E252" s="173" t="b">
        <v>1</v>
      </c>
      <c r="F252" s="173" t="s">
        <v>249</v>
      </c>
      <c r="G252" s="173" t="s">
        <v>247</v>
      </c>
      <c r="H252" s="34" t="str">
        <f t="shared" si="4"/>
        <v>Skerne|Mixed|TRUE|700to900|FreeDrain</v>
      </c>
      <c r="I252" s="119">
        <v>0.16747325751228503</v>
      </c>
      <c r="J252" s="119">
        <v>34.822944912721454</v>
      </c>
      <c r="K252" s="34" t="str">
        <f t="shared" si="5"/>
        <v>Mixed|700to900</v>
      </c>
      <c r="L252" s="119">
        <f>AVERAGE(I252:I253,I428)</f>
        <v>0.54697396934374942</v>
      </c>
      <c r="M252" s="44">
        <f>AVERAGE(J252:J253,J428)</f>
        <v>26.854946672182297</v>
      </c>
      <c r="N252" s="216"/>
      <c r="O252" s="216"/>
      <c r="P252" s="112"/>
    </row>
    <row r="253" spans="2:16" x14ac:dyDescent="0.25">
      <c r="B253" s="122"/>
      <c r="C253" s="173" t="s">
        <v>263</v>
      </c>
      <c r="D253" s="173" t="s">
        <v>257</v>
      </c>
      <c r="E253" s="173" t="b">
        <v>1</v>
      </c>
      <c r="F253" s="173" t="s">
        <v>249</v>
      </c>
      <c r="G253" s="173" t="s">
        <v>248</v>
      </c>
      <c r="H253" s="34" t="str">
        <f t="shared" si="4"/>
        <v>Skerne|Mixed|TRUE|700to900|DrainedArGr</v>
      </c>
      <c r="I253" s="119">
        <v>1.0244542410801485</v>
      </c>
      <c r="J253" s="119">
        <v>22.063362062311153</v>
      </c>
      <c r="K253" s="34" t="str">
        <f t="shared" si="5"/>
        <v>Mixed|700to900</v>
      </c>
      <c r="L253" s="119"/>
      <c r="M253" s="44"/>
      <c r="N253" s="216"/>
      <c r="O253" s="216"/>
      <c r="P253" s="112"/>
    </row>
    <row r="254" spans="2:16" x14ac:dyDescent="0.25">
      <c r="B254" s="122"/>
      <c r="C254" s="173" t="s">
        <v>332</v>
      </c>
      <c r="D254" s="173" t="s">
        <v>243</v>
      </c>
      <c r="E254" s="173" t="b">
        <v>0</v>
      </c>
      <c r="F254" s="173" t="s">
        <v>246</v>
      </c>
      <c r="G254" s="173" t="s">
        <v>245</v>
      </c>
      <c r="H254" s="34" t="str">
        <f t="shared" si="4"/>
        <v>Saltburn Coast|Cereals|FALSE|600to700|DrainedAr</v>
      </c>
      <c r="I254" s="119">
        <v>0.2996629712204496</v>
      </c>
      <c r="J254" s="119">
        <v>18.498423465996158</v>
      </c>
      <c r="K254" s="34" t="str">
        <f t="shared" si="5"/>
        <v>Cereals|600to700</v>
      </c>
      <c r="L254" s="119">
        <f>AVERAGE(I254:I255,I322)</f>
        <v>0.28706797173385235</v>
      </c>
      <c r="M254" s="44">
        <f>AVERAGE(J254:J255,J322)</f>
        <v>20.918366024200512</v>
      </c>
      <c r="N254" s="216"/>
      <c r="O254" s="216"/>
      <c r="P254" s="112"/>
    </row>
    <row r="255" spans="2:16" x14ac:dyDescent="0.25">
      <c r="B255" s="122"/>
      <c r="C255" s="173" t="s">
        <v>332</v>
      </c>
      <c r="D255" s="173" t="s">
        <v>243</v>
      </c>
      <c r="E255" s="173" t="b">
        <v>0</v>
      </c>
      <c r="F255" s="173" t="s">
        <v>246</v>
      </c>
      <c r="G255" s="173" t="s">
        <v>248</v>
      </c>
      <c r="H255" s="34" t="str">
        <f t="shared" si="4"/>
        <v>Saltburn Coast|Cereals|FALSE|600to700|DrainedArGr</v>
      </c>
      <c r="I255" s="119">
        <v>0.50454858577281192</v>
      </c>
      <c r="J255" s="119">
        <v>19.763431355794257</v>
      </c>
      <c r="K255" s="34" t="str">
        <f t="shared" si="5"/>
        <v>Cereals|600to700</v>
      </c>
      <c r="L255" s="119"/>
      <c r="M255" s="44"/>
      <c r="N255" s="216"/>
      <c r="O255" s="216"/>
      <c r="P255" s="112"/>
    </row>
    <row r="256" spans="2:16" x14ac:dyDescent="0.25">
      <c r="B256" s="122"/>
      <c r="C256" s="173" t="s">
        <v>332</v>
      </c>
      <c r="D256" s="173" t="s">
        <v>243</v>
      </c>
      <c r="E256" s="173" t="b">
        <v>0</v>
      </c>
      <c r="F256" s="173" t="s">
        <v>249</v>
      </c>
      <c r="G256" s="173" t="s">
        <v>247</v>
      </c>
      <c r="H256" s="34" t="str">
        <f t="shared" si="4"/>
        <v>Saltburn Coast|Cereals|FALSE|700to900|FreeDrain</v>
      </c>
      <c r="I256" s="119">
        <v>0.15397421462969921</v>
      </c>
      <c r="J256" s="119">
        <v>30.238502279972757</v>
      </c>
      <c r="K256" s="34" t="str">
        <f t="shared" si="5"/>
        <v>Cereals|700to900</v>
      </c>
      <c r="L256" s="119">
        <f>AVERAGE(I256:I258)</f>
        <v>0.56625630919037517</v>
      </c>
      <c r="M256" s="44">
        <f>AVERAGE(J256:J258)</f>
        <v>25.079131628105969</v>
      </c>
      <c r="N256" s="216"/>
      <c r="O256" s="216"/>
      <c r="P256" s="112"/>
    </row>
    <row r="257" spans="2:16" x14ac:dyDescent="0.25">
      <c r="B257" s="122"/>
      <c r="C257" s="173" t="s">
        <v>332</v>
      </c>
      <c r="D257" s="173" t="s">
        <v>243</v>
      </c>
      <c r="E257" s="173" t="b">
        <v>0</v>
      </c>
      <c r="F257" s="173" t="s">
        <v>249</v>
      </c>
      <c r="G257" s="173" t="s">
        <v>245</v>
      </c>
      <c r="H257" s="34" t="str">
        <f t="shared" si="4"/>
        <v>Saltburn Coast|Cereals|FALSE|700to900|DrainedAr</v>
      </c>
      <c r="I257" s="119">
        <v>0.64887713182775286</v>
      </c>
      <c r="J257" s="119">
        <v>23.235349473593143</v>
      </c>
      <c r="K257" s="34" t="str">
        <f t="shared" si="5"/>
        <v>Cereals|700to900</v>
      </c>
      <c r="L257" s="119"/>
      <c r="M257" s="44"/>
      <c r="N257" s="216"/>
      <c r="O257" s="216"/>
      <c r="P257" s="112"/>
    </row>
    <row r="258" spans="2:16" x14ac:dyDescent="0.25">
      <c r="B258" s="122"/>
      <c r="C258" s="173" t="s">
        <v>332</v>
      </c>
      <c r="D258" s="173" t="s">
        <v>243</v>
      </c>
      <c r="E258" s="173" t="b">
        <v>0</v>
      </c>
      <c r="F258" s="173" t="s">
        <v>249</v>
      </c>
      <c r="G258" s="173" t="s">
        <v>248</v>
      </c>
      <c r="H258" s="34" t="str">
        <f t="shared" si="4"/>
        <v>Saltburn Coast|Cereals|FALSE|700to900|DrainedArGr</v>
      </c>
      <c r="I258" s="119">
        <v>0.89591758111367348</v>
      </c>
      <c r="J258" s="119">
        <v>21.763543130752009</v>
      </c>
      <c r="K258" s="34" t="str">
        <f t="shared" si="5"/>
        <v>Cereals|700to900</v>
      </c>
      <c r="L258" s="119"/>
      <c r="M258" s="44"/>
      <c r="N258" s="216"/>
      <c r="O258" s="216"/>
      <c r="P258" s="112"/>
    </row>
    <row r="259" spans="2:16" x14ac:dyDescent="0.25">
      <c r="B259" s="122"/>
      <c r="C259" s="173" t="s">
        <v>332</v>
      </c>
      <c r="D259" s="173" t="s">
        <v>250</v>
      </c>
      <c r="E259" s="173" t="b">
        <v>0</v>
      </c>
      <c r="F259" s="173" t="s">
        <v>249</v>
      </c>
      <c r="G259" s="173" t="s">
        <v>247</v>
      </c>
      <c r="H259" s="34" t="str">
        <f t="shared" si="4"/>
        <v>Saltburn Coast|General|FALSE|700to900|FreeDrain</v>
      </c>
      <c r="I259" s="119">
        <v>0.11688852139903289</v>
      </c>
      <c r="J259" s="119">
        <v>19.728040288638816</v>
      </c>
      <c r="K259" s="34" t="str">
        <f t="shared" si="5"/>
        <v>General|700to900</v>
      </c>
      <c r="L259" s="119">
        <f>AVERAGE(I259:I261)</f>
        <v>0.40375713268104024</v>
      </c>
      <c r="M259" s="44">
        <f>AVERAGE(J259:J261)</f>
        <v>16.027418604741928</v>
      </c>
      <c r="N259" s="216"/>
      <c r="O259" s="216"/>
      <c r="P259" s="112"/>
    </row>
    <row r="260" spans="2:16" x14ac:dyDescent="0.25">
      <c r="B260" s="122"/>
      <c r="C260" s="173" t="s">
        <v>332</v>
      </c>
      <c r="D260" s="173" t="s">
        <v>250</v>
      </c>
      <c r="E260" s="173" t="b">
        <v>0</v>
      </c>
      <c r="F260" s="173" t="s">
        <v>249</v>
      </c>
      <c r="G260" s="173" t="s">
        <v>245</v>
      </c>
      <c r="H260" s="34" t="str">
        <f t="shared" si="4"/>
        <v>Saltburn Coast|General|FALSE|700to900|DrainedAr</v>
      </c>
      <c r="I260" s="119">
        <v>0.42385523483672033</v>
      </c>
      <c r="J260" s="119">
        <v>14.853365106094875</v>
      </c>
      <c r="K260" s="34" t="str">
        <f t="shared" si="5"/>
        <v>General|700to900</v>
      </c>
      <c r="L260" s="119"/>
      <c r="M260" s="44"/>
      <c r="N260" s="216"/>
      <c r="O260" s="216"/>
      <c r="P260" s="112"/>
    </row>
    <row r="261" spans="2:16" x14ac:dyDescent="0.25">
      <c r="B261" s="122"/>
      <c r="C261" s="173" t="s">
        <v>332</v>
      </c>
      <c r="D261" s="173" t="s">
        <v>250</v>
      </c>
      <c r="E261" s="173" t="b">
        <v>0</v>
      </c>
      <c r="F261" s="173" t="s">
        <v>249</v>
      </c>
      <c r="G261" s="173" t="s">
        <v>248</v>
      </c>
      <c r="H261" s="34" t="str">
        <f t="shared" si="4"/>
        <v>Saltburn Coast|General|FALSE|700to900|DrainedArGr</v>
      </c>
      <c r="I261" s="119">
        <v>0.67052764180736735</v>
      </c>
      <c r="J261" s="119">
        <v>13.500850419492094</v>
      </c>
      <c r="K261" s="34" t="str">
        <f t="shared" si="5"/>
        <v>General|700to900</v>
      </c>
      <c r="L261" s="119"/>
      <c r="M261" s="44"/>
      <c r="N261" s="216"/>
      <c r="O261" s="216"/>
      <c r="P261" s="112"/>
    </row>
    <row r="262" spans="2:16" x14ac:dyDescent="0.25">
      <c r="B262" s="122"/>
      <c r="C262" s="173" t="s">
        <v>332</v>
      </c>
      <c r="D262" s="173" t="s">
        <v>252</v>
      </c>
      <c r="E262" s="173" t="b">
        <v>0</v>
      </c>
      <c r="F262" s="173" t="s">
        <v>249</v>
      </c>
      <c r="G262" s="173" t="s">
        <v>247</v>
      </c>
      <c r="H262" s="34" t="str">
        <f t="shared" si="4"/>
        <v>Saltburn Coast|Pig|FALSE|700to900|FreeDrain</v>
      </c>
      <c r="I262" s="119">
        <v>0.17711685580124698</v>
      </c>
      <c r="J262" s="119">
        <v>91.898070462172171</v>
      </c>
      <c r="K262" s="34" t="str">
        <f t="shared" si="5"/>
        <v>Pig|700to900</v>
      </c>
      <c r="L262" s="119">
        <f>AVERAGE(I262:I264)</f>
        <v>0.58572656307035442</v>
      </c>
      <c r="M262" s="44">
        <f>AVERAGE(J262:J264)</f>
        <v>70.144638101018145</v>
      </c>
      <c r="N262" s="216"/>
      <c r="O262" s="216"/>
      <c r="P262" s="112"/>
    </row>
    <row r="263" spans="2:16" x14ac:dyDescent="0.25">
      <c r="B263" s="122"/>
      <c r="C263" s="173" t="s">
        <v>332</v>
      </c>
      <c r="D263" s="173" t="s">
        <v>252</v>
      </c>
      <c r="E263" s="173" t="b">
        <v>0</v>
      </c>
      <c r="F263" s="173" t="s">
        <v>249</v>
      </c>
      <c r="G263" s="173" t="s">
        <v>245</v>
      </c>
      <c r="H263" s="34" t="str">
        <f t="shared" si="4"/>
        <v>Saltburn Coast|Pig|FALSE|700to900|DrainedAr</v>
      </c>
      <c r="I263" s="119">
        <v>0.61871341684295456</v>
      </c>
      <c r="J263" s="119">
        <v>64.306162563881784</v>
      </c>
      <c r="K263" s="34" t="str">
        <f t="shared" si="5"/>
        <v>Pig|700to900</v>
      </c>
      <c r="L263" s="119"/>
      <c r="M263" s="44"/>
      <c r="N263" s="216"/>
      <c r="O263" s="216"/>
      <c r="P263" s="112"/>
    </row>
    <row r="264" spans="2:16" x14ac:dyDescent="0.25">
      <c r="B264" s="122"/>
      <c r="C264" s="173" t="s">
        <v>332</v>
      </c>
      <c r="D264" s="173" t="s">
        <v>252</v>
      </c>
      <c r="E264" s="173" t="b">
        <v>0</v>
      </c>
      <c r="F264" s="173" t="s">
        <v>249</v>
      </c>
      <c r="G264" s="173" t="s">
        <v>248</v>
      </c>
      <c r="H264" s="34" t="str">
        <f t="shared" si="4"/>
        <v>Saltburn Coast|Pig|FALSE|700to900|DrainedArGr</v>
      </c>
      <c r="I264" s="119">
        <v>0.96134941656686157</v>
      </c>
      <c r="J264" s="119">
        <v>54.229681277000509</v>
      </c>
      <c r="K264" s="34" t="str">
        <f t="shared" si="5"/>
        <v>Pig|700to900</v>
      </c>
      <c r="L264" s="119"/>
      <c r="M264" s="44"/>
      <c r="N264" s="216"/>
      <c r="O264" s="216"/>
      <c r="P264" s="112"/>
    </row>
    <row r="265" spans="2:16" x14ac:dyDescent="0.25">
      <c r="B265" s="122"/>
      <c r="C265" s="173" t="s">
        <v>332</v>
      </c>
      <c r="D265" s="173" t="s">
        <v>254</v>
      </c>
      <c r="E265" s="173" t="b">
        <v>0</v>
      </c>
      <c r="F265" s="173" t="s">
        <v>249</v>
      </c>
      <c r="G265" s="173" t="s">
        <v>247</v>
      </c>
      <c r="H265" s="34" t="str">
        <f t="shared" si="4"/>
        <v>Saltburn Coast|Dairy|FALSE|700to900|FreeDrain</v>
      </c>
      <c r="I265" s="119">
        <v>0.13688863307295052</v>
      </c>
      <c r="J265" s="119">
        <v>24.203914565802506</v>
      </c>
      <c r="K265" s="34" t="str">
        <f t="shared" si="5"/>
        <v>Dairy|700to900</v>
      </c>
      <c r="L265" s="119">
        <f>AVERAGE(I265:I267)</f>
        <v>0.40243768865150592</v>
      </c>
      <c r="M265" s="44">
        <f>AVERAGE(J265:J267)</f>
        <v>18.706524339059101</v>
      </c>
      <c r="N265" s="216"/>
      <c r="O265" s="216"/>
      <c r="P265" s="112"/>
    </row>
    <row r="266" spans="2:16" x14ac:dyDescent="0.25">
      <c r="B266" s="122"/>
      <c r="C266" s="173" t="s">
        <v>332</v>
      </c>
      <c r="D266" s="173" t="s">
        <v>254</v>
      </c>
      <c r="E266" s="173" t="b">
        <v>0</v>
      </c>
      <c r="F266" s="173" t="s">
        <v>249</v>
      </c>
      <c r="G266" s="173" t="s">
        <v>245</v>
      </c>
      <c r="H266" s="34" t="str">
        <f t="shared" si="4"/>
        <v>Saltburn Coast|Dairy|FALSE|700to900|DrainedAr</v>
      </c>
      <c r="I266" s="119">
        <v>0.24615694655934703</v>
      </c>
      <c r="J266" s="119">
        <v>18.915765867643053</v>
      </c>
      <c r="K266" s="34" t="str">
        <f t="shared" si="5"/>
        <v>Dairy|700to900</v>
      </c>
      <c r="L266" s="119"/>
      <c r="M266" s="44"/>
      <c r="N266" s="216"/>
      <c r="O266" s="216"/>
      <c r="P266" s="112"/>
    </row>
    <row r="267" spans="2:16" x14ac:dyDescent="0.25">
      <c r="B267" s="122"/>
      <c r="C267" s="173" t="s">
        <v>332</v>
      </c>
      <c r="D267" s="173" t="s">
        <v>254</v>
      </c>
      <c r="E267" s="173" t="b">
        <v>0</v>
      </c>
      <c r="F267" s="173" t="s">
        <v>249</v>
      </c>
      <c r="G267" s="173" t="s">
        <v>248</v>
      </c>
      <c r="H267" s="34" t="str">
        <f t="shared" si="4"/>
        <v>Saltburn Coast|Dairy|FALSE|700to900|DrainedArGr</v>
      </c>
      <c r="I267" s="119">
        <v>0.82426748632222013</v>
      </c>
      <c r="J267" s="119">
        <v>12.999892583731746</v>
      </c>
      <c r="K267" s="34" t="str">
        <f t="shared" si="5"/>
        <v>Dairy|700to900</v>
      </c>
      <c r="L267" s="119"/>
      <c r="M267" s="44"/>
      <c r="N267" s="216"/>
      <c r="O267" s="216"/>
      <c r="P267" s="112"/>
    </row>
    <row r="268" spans="2:16" x14ac:dyDescent="0.25">
      <c r="B268" s="122"/>
      <c r="C268" s="173" t="s">
        <v>332</v>
      </c>
      <c r="D268" s="173" t="s">
        <v>255</v>
      </c>
      <c r="E268" s="173" t="b">
        <v>0</v>
      </c>
      <c r="F268" s="173" t="s">
        <v>246</v>
      </c>
      <c r="G268" s="173" t="s">
        <v>245</v>
      </c>
      <c r="H268" s="34" t="str">
        <f t="shared" si="4"/>
        <v>Saltburn Coast|LFA|FALSE|600to700|DrainedAr</v>
      </c>
      <c r="I268" s="119">
        <v>7.5434235628659627E-2</v>
      </c>
      <c r="J268" s="119">
        <v>7.3299343655062987</v>
      </c>
      <c r="K268" s="34" t="str">
        <f t="shared" si="5"/>
        <v>LFA|600to700</v>
      </c>
      <c r="L268" s="119">
        <f>AVERAGE(I268,I388,I390)</f>
        <v>0.13770387896009129</v>
      </c>
      <c r="M268" s="44">
        <f>AVERAGE(J268,J388,J390)</f>
        <v>6.763936197889552</v>
      </c>
      <c r="N268" s="216"/>
      <c r="O268" s="216"/>
      <c r="P268" s="112"/>
    </row>
    <row r="269" spans="2:16" x14ac:dyDescent="0.25">
      <c r="B269" s="122"/>
      <c r="C269" s="173" t="s">
        <v>332</v>
      </c>
      <c r="D269" s="173" t="s">
        <v>255</v>
      </c>
      <c r="E269" s="173" t="b">
        <v>0</v>
      </c>
      <c r="F269" s="173" t="s">
        <v>249</v>
      </c>
      <c r="G269" s="173" t="s">
        <v>247</v>
      </c>
      <c r="H269" s="34" t="str">
        <f t="shared" si="4"/>
        <v>Saltburn Coast|LFA|FALSE|700to900|FreeDrain</v>
      </c>
      <c r="I269" s="119">
        <v>0.10851997115917411</v>
      </c>
      <c r="J269" s="119">
        <v>15.086126419002623</v>
      </c>
      <c r="K269" s="34" t="str">
        <f t="shared" si="5"/>
        <v>LFA|700to900</v>
      </c>
      <c r="L269" s="119">
        <f>AVERAGE(I269:I271)</f>
        <v>0.26771323119764706</v>
      </c>
      <c r="M269" s="44">
        <f>AVERAGE(J269:J271)</f>
        <v>11.746801195409672</v>
      </c>
      <c r="N269" s="216"/>
      <c r="O269" s="216"/>
      <c r="P269" s="112"/>
    </row>
    <row r="270" spans="2:16" x14ac:dyDescent="0.25">
      <c r="B270" s="122"/>
      <c r="C270" s="173" t="s">
        <v>332</v>
      </c>
      <c r="D270" s="173" t="s">
        <v>255</v>
      </c>
      <c r="E270" s="173" t="b">
        <v>0</v>
      </c>
      <c r="F270" s="173" t="s">
        <v>249</v>
      </c>
      <c r="G270" s="173" t="s">
        <v>245</v>
      </c>
      <c r="H270" s="34" t="str">
        <f t="shared" si="4"/>
        <v>Saltburn Coast|LFA|FALSE|700to900|DrainedAr</v>
      </c>
      <c r="I270" s="119">
        <v>0.12178569676574005</v>
      </c>
      <c r="J270" s="119">
        <v>11.959411694203224</v>
      </c>
      <c r="K270" s="34" t="str">
        <f t="shared" si="5"/>
        <v>LFA|700to900</v>
      </c>
      <c r="L270" s="119"/>
      <c r="M270" s="44"/>
      <c r="N270" s="216"/>
      <c r="O270" s="216"/>
      <c r="P270" s="112"/>
    </row>
    <row r="271" spans="2:16" x14ac:dyDescent="0.25">
      <c r="B271" s="122"/>
      <c r="C271" s="173" t="s">
        <v>332</v>
      </c>
      <c r="D271" s="173" t="s">
        <v>255</v>
      </c>
      <c r="E271" s="173" t="b">
        <v>0</v>
      </c>
      <c r="F271" s="173" t="s">
        <v>249</v>
      </c>
      <c r="G271" s="173" t="s">
        <v>248</v>
      </c>
      <c r="H271" s="34" t="str">
        <f t="shared" si="4"/>
        <v>Saltburn Coast|LFA|FALSE|700to900|DrainedArGr</v>
      </c>
      <c r="I271" s="119">
        <v>0.5728340256680271</v>
      </c>
      <c r="J271" s="119">
        <v>8.1948654730231691</v>
      </c>
      <c r="K271" s="34" t="str">
        <f t="shared" si="5"/>
        <v>LFA|700to900</v>
      </c>
      <c r="L271" s="119"/>
      <c r="M271" s="44"/>
      <c r="N271" s="216"/>
      <c r="O271" s="216"/>
      <c r="P271" s="112"/>
    </row>
    <row r="272" spans="2:16" x14ac:dyDescent="0.25">
      <c r="B272" s="122"/>
      <c r="C272" s="173" t="s">
        <v>332</v>
      </c>
      <c r="D272" s="173" t="s">
        <v>256</v>
      </c>
      <c r="E272" s="173" t="b">
        <v>0</v>
      </c>
      <c r="F272" s="173" t="s">
        <v>246</v>
      </c>
      <c r="G272" s="173" t="s">
        <v>245</v>
      </c>
      <c r="H272" s="34" t="str">
        <f t="shared" si="4"/>
        <v>Saltburn Coast|Lowland|FALSE|600to700|DrainedAr</v>
      </c>
      <c r="I272" s="119">
        <v>0.13081958879673022</v>
      </c>
      <c r="J272" s="119">
        <v>11.379184723744769</v>
      </c>
      <c r="K272" s="34" t="str">
        <f t="shared" si="5"/>
        <v>Lowland|600to700</v>
      </c>
      <c r="L272" s="119">
        <f>AVERAGE(I272,I406,I409)</f>
        <v>0.22089515401373161</v>
      </c>
      <c r="M272" s="44">
        <f>AVERAGE(J272,J406,J409)</f>
        <v>10.540486668923775</v>
      </c>
      <c r="N272" s="216"/>
      <c r="O272" s="216"/>
      <c r="P272" s="112"/>
    </row>
    <row r="273" spans="2:16" x14ac:dyDescent="0.25">
      <c r="B273" s="122"/>
      <c r="C273" s="173" t="s">
        <v>332</v>
      </c>
      <c r="D273" s="173" t="s">
        <v>256</v>
      </c>
      <c r="E273" s="173" t="b">
        <v>0</v>
      </c>
      <c r="F273" s="173" t="s">
        <v>249</v>
      </c>
      <c r="G273" s="173" t="s">
        <v>247</v>
      </c>
      <c r="H273" s="34" t="str">
        <f t="shared" si="4"/>
        <v>Saltburn Coast|Lowland|FALSE|700to900|FreeDrain</v>
      </c>
      <c r="I273" s="119">
        <v>0.14816021410672284</v>
      </c>
      <c r="J273" s="119">
        <v>23.478356158511261</v>
      </c>
      <c r="K273" s="34" t="str">
        <f t="shared" si="5"/>
        <v>Lowland|700to900</v>
      </c>
      <c r="L273" s="119">
        <f>AVERAGE(I273:I275)</f>
        <v>0.39406218705052815</v>
      </c>
      <c r="M273" s="44">
        <f>AVERAGE(J273:J275)</f>
        <v>17.910272071118055</v>
      </c>
      <c r="N273" s="216"/>
      <c r="O273" s="216"/>
      <c r="P273" s="112"/>
    </row>
    <row r="274" spans="2:16" x14ac:dyDescent="0.25">
      <c r="B274" s="122"/>
      <c r="C274" s="173" t="s">
        <v>332</v>
      </c>
      <c r="D274" s="173" t="s">
        <v>256</v>
      </c>
      <c r="E274" s="173" t="b">
        <v>0</v>
      </c>
      <c r="F274" s="173" t="s">
        <v>249</v>
      </c>
      <c r="G274" s="173" t="s">
        <v>245</v>
      </c>
      <c r="H274" s="34" t="str">
        <f t="shared" si="4"/>
        <v>Saltburn Coast|Lowland|FALSE|700to900|DrainedAr</v>
      </c>
      <c r="I274" s="119">
        <v>0.21824421753144715</v>
      </c>
      <c r="J274" s="119">
        <v>18.310101249675654</v>
      </c>
      <c r="K274" s="34" t="str">
        <f t="shared" si="5"/>
        <v>Lowland|700to900</v>
      </c>
      <c r="L274" s="119"/>
      <c r="M274" s="44"/>
      <c r="N274" s="216"/>
      <c r="O274" s="216"/>
      <c r="P274" s="112"/>
    </row>
    <row r="275" spans="2:16" x14ac:dyDescent="0.25">
      <c r="B275" s="122"/>
      <c r="C275" s="173" t="s">
        <v>332</v>
      </c>
      <c r="D275" s="173" t="s">
        <v>256</v>
      </c>
      <c r="E275" s="173" t="b">
        <v>0</v>
      </c>
      <c r="F275" s="173" t="s">
        <v>249</v>
      </c>
      <c r="G275" s="173" t="s">
        <v>248</v>
      </c>
      <c r="H275" s="34" t="str">
        <f t="shared" si="4"/>
        <v>Saltburn Coast|Lowland|FALSE|700to900|DrainedArGr</v>
      </c>
      <c r="I275" s="119">
        <v>0.81578212951341456</v>
      </c>
      <c r="J275" s="119">
        <v>11.942358805167252</v>
      </c>
      <c r="K275" s="34" t="str">
        <f t="shared" si="5"/>
        <v>Lowland|700to900</v>
      </c>
      <c r="L275" s="119"/>
      <c r="M275" s="44"/>
      <c r="N275" s="216"/>
      <c r="O275" s="216"/>
      <c r="P275" s="112"/>
    </row>
    <row r="276" spans="2:16" x14ac:dyDescent="0.25">
      <c r="B276" s="122"/>
      <c r="C276" s="173" t="s">
        <v>332</v>
      </c>
      <c r="D276" s="173" t="s">
        <v>257</v>
      </c>
      <c r="E276" s="173" t="b">
        <v>0</v>
      </c>
      <c r="F276" s="173" t="s">
        <v>246</v>
      </c>
      <c r="G276" s="173" t="s">
        <v>248</v>
      </c>
      <c r="H276" s="34" t="str">
        <f t="shared" si="4"/>
        <v>Saltburn Coast|Mixed|FALSE|600to700|DrainedArGr</v>
      </c>
      <c r="I276" s="119">
        <v>0.59821680394831822</v>
      </c>
      <c r="J276" s="119">
        <v>19.14581829649071</v>
      </c>
      <c r="K276" s="34" t="str">
        <f t="shared" si="5"/>
        <v>Mixed|600to700</v>
      </c>
      <c r="L276" s="119">
        <f>AVERAGE(I276,I421:I422)</f>
        <v>0.29481889345383783</v>
      </c>
      <c r="M276" s="44">
        <f>AVERAGE(J276,J421:J422)</f>
        <v>20.253006662519187</v>
      </c>
      <c r="N276" s="216"/>
      <c r="O276" s="216"/>
      <c r="P276" s="112"/>
    </row>
    <row r="277" spans="2:16" x14ac:dyDescent="0.25">
      <c r="B277" s="122"/>
      <c r="C277" s="173" t="s">
        <v>332</v>
      </c>
      <c r="D277" s="173" t="s">
        <v>257</v>
      </c>
      <c r="E277" s="173" t="b">
        <v>0</v>
      </c>
      <c r="F277" s="173" t="s">
        <v>249</v>
      </c>
      <c r="G277" s="173" t="s">
        <v>247</v>
      </c>
      <c r="H277" s="34" t="str">
        <f t="shared" si="4"/>
        <v>Saltburn Coast|Mixed|FALSE|700to900|FreeDrain</v>
      </c>
      <c r="I277" s="119">
        <v>0.1705619642877253</v>
      </c>
      <c r="J277" s="119">
        <v>35.316805276332374</v>
      </c>
      <c r="K277" s="34" t="str">
        <f t="shared" si="5"/>
        <v>Mixed|700to900</v>
      </c>
      <c r="L277" s="119">
        <f>AVERAGE(I277:I279)</f>
        <v>0.55535469208066013</v>
      </c>
      <c r="M277" s="44">
        <f>AVERAGE(J277:J279)</f>
        <v>27.984062909586147</v>
      </c>
      <c r="N277" s="216"/>
      <c r="O277" s="216"/>
      <c r="P277" s="112"/>
    </row>
    <row r="278" spans="2:16" x14ac:dyDescent="0.25">
      <c r="B278" s="122"/>
      <c r="C278" s="173" t="s">
        <v>332</v>
      </c>
      <c r="D278" s="173" t="s">
        <v>257</v>
      </c>
      <c r="E278" s="173" t="b">
        <v>0</v>
      </c>
      <c r="F278" s="173" t="s">
        <v>249</v>
      </c>
      <c r="G278" s="173" t="s">
        <v>245</v>
      </c>
      <c r="H278" s="34" t="str">
        <f t="shared" si="4"/>
        <v>Saltburn Coast|Mixed|FALSE|700to900|DrainedAr</v>
      </c>
      <c r="I278" s="119">
        <v>0.50740864397158858</v>
      </c>
      <c r="J278" s="119">
        <v>26.91108549918949</v>
      </c>
      <c r="K278" s="34" t="str">
        <f t="shared" si="5"/>
        <v>Mixed|700to900</v>
      </c>
      <c r="L278" s="119"/>
      <c r="M278" s="44"/>
      <c r="N278" s="216"/>
      <c r="O278" s="216"/>
      <c r="P278" s="112"/>
    </row>
    <row r="279" spans="2:16" x14ac:dyDescent="0.25">
      <c r="B279" s="122"/>
      <c r="C279" s="173" t="s">
        <v>332</v>
      </c>
      <c r="D279" s="173" t="s">
        <v>257</v>
      </c>
      <c r="E279" s="173" t="b">
        <v>0</v>
      </c>
      <c r="F279" s="173" t="s">
        <v>249</v>
      </c>
      <c r="G279" s="173" t="s">
        <v>248</v>
      </c>
      <c r="H279" s="34" t="str">
        <f t="shared" si="4"/>
        <v>Saltburn Coast|Mixed|FALSE|700to900|DrainedArGr</v>
      </c>
      <c r="I279" s="119">
        <v>0.9880934679826664</v>
      </c>
      <c r="J279" s="119">
        <v>21.724297953236587</v>
      </c>
      <c r="K279" s="34" t="str">
        <f t="shared" si="5"/>
        <v>Mixed|700to900</v>
      </c>
      <c r="L279" s="119"/>
      <c r="M279" s="44"/>
      <c r="N279" s="216"/>
      <c r="O279" s="216"/>
      <c r="P279" s="112"/>
    </row>
    <row r="280" spans="2:16" x14ac:dyDescent="0.25">
      <c r="B280" s="122"/>
      <c r="C280" s="173" t="s">
        <v>333</v>
      </c>
      <c r="D280" s="173" t="s">
        <v>243</v>
      </c>
      <c r="E280" s="173" t="b">
        <v>0</v>
      </c>
      <c r="F280" s="173" t="s">
        <v>246</v>
      </c>
      <c r="G280" s="173" t="s">
        <v>245</v>
      </c>
      <c r="H280" s="34" t="str">
        <f t="shared" si="4"/>
        <v>Leven Northumbria|Cereals|FALSE|600to700|DrainedAr</v>
      </c>
      <c r="I280" s="119">
        <v>0.29609048465409343</v>
      </c>
      <c r="J280" s="119">
        <v>18.353973048770339</v>
      </c>
      <c r="K280" s="34" t="str">
        <f t="shared" si="5"/>
        <v>Cereals|600to700</v>
      </c>
      <c r="L280" s="119">
        <f>AVERAGE(I280:I281,I321)</f>
        <v>0.28489866349809562</v>
      </c>
      <c r="M280" s="44">
        <f>AVERAGE(J280:J281,J321)</f>
        <v>20.913815811976416</v>
      </c>
      <c r="N280" s="216"/>
      <c r="O280" s="216"/>
      <c r="P280" s="112"/>
    </row>
    <row r="281" spans="2:16" x14ac:dyDescent="0.25">
      <c r="B281" s="122"/>
      <c r="C281" s="173" t="s">
        <v>333</v>
      </c>
      <c r="D281" s="173" t="s">
        <v>243</v>
      </c>
      <c r="E281" s="173" t="b">
        <v>0</v>
      </c>
      <c r="F281" s="173" t="s">
        <v>246</v>
      </c>
      <c r="G281" s="173" t="s">
        <v>248</v>
      </c>
      <c r="H281" s="34" t="str">
        <f t="shared" si="4"/>
        <v>Leven Northumbria|Cereals|FALSE|600to700|DrainedArGr</v>
      </c>
      <c r="I281" s="119">
        <v>0.50160555108443938</v>
      </c>
      <c r="J281" s="119">
        <v>19.812185057395812</v>
      </c>
      <c r="K281" s="34" t="str">
        <f t="shared" si="5"/>
        <v>Cereals|600to700</v>
      </c>
      <c r="L281" s="119"/>
      <c r="M281" s="44"/>
      <c r="N281" s="216"/>
      <c r="O281" s="216"/>
      <c r="P281" s="112"/>
    </row>
    <row r="282" spans="2:16" x14ac:dyDescent="0.25">
      <c r="B282" s="122"/>
      <c r="C282" s="173" t="s">
        <v>333</v>
      </c>
      <c r="D282" s="173" t="s">
        <v>243</v>
      </c>
      <c r="E282" s="173" t="b">
        <v>0</v>
      </c>
      <c r="F282" s="173" t="s">
        <v>249</v>
      </c>
      <c r="G282" s="173" t="s">
        <v>247</v>
      </c>
      <c r="H282" s="34" t="str">
        <f t="shared" si="4"/>
        <v>Leven Northumbria|Cereals|FALSE|700to900|FreeDrain</v>
      </c>
      <c r="I282" s="119">
        <v>0.16452953917397059</v>
      </c>
      <c r="J282" s="119">
        <v>29.638170366834679</v>
      </c>
      <c r="K282" s="34" t="str">
        <f t="shared" si="5"/>
        <v>Cereals|700to900</v>
      </c>
      <c r="L282" s="119">
        <f>AVERAGE(I282:I284)</f>
        <v>0.56553283564783086</v>
      </c>
      <c r="M282" s="44">
        <f>AVERAGE(J282:J284)</f>
        <v>24.893538423908467</v>
      </c>
      <c r="N282" s="216"/>
      <c r="O282" s="216"/>
      <c r="P282" s="112"/>
    </row>
    <row r="283" spans="2:16" x14ac:dyDescent="0.25">
      <c r="B283" s="122"/>
      <c r="C283" s="173" t="s">
        <v>333</v>
      </c>
      <c r="D283" s="173" t="s">
        <v>243</v>
      </c>
      <c r="E283" s="173" t="b">
        <v>0</v>
      </c>
      <c r="F283" s="173" t="s">
        <v>249</v>
      </c>
      <c r="G283" s="173" t="s">
        <v>245</v>
      </c>
      <c r="H283" s="34" t="str">
        <f t="shared" si="4"/>
        <v>Leven Northumbria|Cereals|FALSE|700to900|DrainedAr</v>
      </c>
      <c r="I283" s="119">
        <v>0.64125126517279363</v>
      </c>
      <c r="J283" s="119">
        <v>23.107290607072077</v>
      </c>
      <c r="K283" s="34" t="str">
        <f t="shared" si="5"/>
        <v>Cereals|700to900</v>
      </c>
      <c r="L283" s="119"/>
      <c r="M283" s="44"/>
      <c r="N283" s="216"/>
      <c r="O283" s="216"/>
      <c r="P283" s="112"/>
    </row>
    <row r="284" spans="2:16" x14ac:dyDescent="0.25">
      <c r="B284" s="122"/>
      <c r="C284" s="173" t="s">
        <v>333</v>
      </c>
      <c r="D284" s="173" t="s">
        <v>243</v>
      </c>
      <c r="E284" s="173" t="b">
        <v>0</v>
      </c>
      <c r="F284" s="173" t="s">
        <v>249</v>
      </c>
      <c r="G284" s="173" t="s">
        <v>248</v>
      </c>
      <c r="H284" s="34" t="str">
        <f t="shared" si="4"/>
        <v>Leven Northumbria|Cereals|FALSE|700to900|DrainedArGr</v>
      </c>
      <c r="I284" s="119">
        <v>0.89081770259672832</v>
      </c>
      <c r="J284" s="119">
        <v>21.935154297818645</v>
      </c>
      <c r="K284" s="34" t="str">
        <f t="shared" si="5"/>
        <v>Cereals|700to900</v>
      </c>
      <c r="L284" s="119"/>
      <c r="M284" s="44"/>
      <c r="N284" s="216"/>
      <c r="O284" s="216"/>
      <c r="P284" s="112"/>
    </row>
    <row r="285" spans="2:16" x14ac:dyDescent="0.25">
      <c r="B285" s="122"/>
      <c r="C285" s="173" t="s">
        <v>333</v>
      </c>
      <c r="D285" s="173" t="s">
        <v>243</v>
      </c>
      <c r="E285" s="173" t="b">
        <v>0</v>
      </c>
      <c r="F285" s="173" t="s">
        <v>259</v>
      </c>
      <c r="G285" s="173" t="s">
        <v>248</v>
      </c>
      <c r="H285" s="34" t="str">
        <f t="shared" si="4"/>
        <v>Leven Northumbria|Cereals|FALSE|900to1200|DrainedArGr</v>
      </c>
      <c r="I285" s="119">
        <v>1.4674092387602284</v>
      </c>
      <c r="J285" s="119">
        <v>25.505255324137465</v>
      </c>
      <c r="K285" s="34" t="str">
        <f t="shared" si="5"/>
        <v>Cereals|900to1200</v>
      </c>
      <c r="L285" s="119">
        <f>AVERAGE(I285,I333)</f>
        <v>0.86910651076943113</v>
      </c>
      <c r="M285" s="44">
        <f>AVERAGE(J285,J333)</f>
        <v>28.444417928124956</v>
      </c>
      <c r="N285" s="216"/>
      <c r="O285" s="216"/>
      <c r="P285" s="112"/>
    </row>
    <row r="286" spans="2:16" x14ac:dyDescent="0.25">
      <c r="B286" s="122"/>
      <c r="C286" s="173" t="s">
        <v>333</v>
      </c>
      <c r="D286" s="173" t="s">
        <v>250</v>
      </c>
      <c r="E286" s="173" t="b">
        <v>0</v>
      </c>
      <c r="F286" s="173" t="s">
        <v>246</v>
      </c>
      <c r="G286" s="173" t="s">
        <v>245</v>
      </c>
      <c r="H286" s="34" t="str">
        <f t="shared" si="4"/>
        <v>Leven Northumbria|General|FALSE|600to700|DrainedAr</v>
      </c>
      <c r="I286" s="119">
        <v>0.19278794367536156</v>
      </c>
      <c r="J286" s="119">
        <v>11.591924625098002</v>
      </c>
      <c r="K286" s="34" t="str">
        <f t="shared" si="5"/>
        <v>General|600to700</v>
      </c>
      <c r="L286" s="119">
        <f>AVERAGE(I286:I287,I336)</f>
        <v>0.20527802750182059</v>
      </c>
      <c r="M286" s="44">
        <f>AVERAGE(J286:J287,J336)</f>
        <v>13.84009811110419</v>
      </c>
      <c r="N286" s="216"/>
      <c r="O286" s="216"/>
      <c r="P286" s="112"/>
    </row>
    <row r="287" spans="2:16" x14ac:dyDescent="0.25">
      <c r="B287" s="122"/>
      <c r="C287" s="173" t="s">
        <v>333</v>
      </c>
      <c r="D287" s="173" t="s">
        <v>250</v>
      </c>
      <c r="E287" s="173" t="b">
        <v>0</v>
      </c>
      <c r="F287" s="173" t="s">
        <v>246</v>
      </c>
      <c r="G287" s="173" t="s">
        <v>248</v>
      </c>
      <c r="H287" s="34" t="str">
        <f t="shared" si="4"/>
        <v>Leven Northumbria|General|FALSE|600to700|DrainedArGr</v>
      </c>
      <c r="I287" s="119">
        <v>0.37691831544160714</v>
      </c>
      <c r="J287" s="119">
        <v>12.109462074575319</v>
      </c>
      <c r="K287" s="34" t="str">
        <f t="shared" si="5"/>
        <v>General|600to700</v>
      </c>
      <c r="L287" s="119"/>
      <c r="M287" s="44"/>
      <c r="N287" s="216"/>
      <c r="O287" s="216"/>
      <c r="P287" s="112"/>
    </row>
    <row r="288" spans="2:16" x14ac:dyDescent="0.25">
      <c r="B288" s="122"/>
      <c r="C288" s="173" t="s">
        <v>333</v>
      </c>
      <c r="D288" s="173" t="s">
        <v>250</v>
      </c>
      <c r="E288" s="173" t="b">
        <v>0</v>
      </c>
      <c r="F288" s="173" t="s">
        <v>249</v>
      </c>
      <c r="G288" s="173" t="s">
        <v>245</v>
      </c>
      <c r="H288" s="34" t="str">
        <f t="shared" si="4"/>
        <v>Leven Northumbria|General|FALSE|700to900|DrainedAr</v>
      </c>
      <c r="I288" s="119">
        <v>0.41848057656282633</v>
      </c>
      <c r="J288" s="119">
        <v>14.717216134830409</v>
      </c>
      <c r="K288" s="34" t="str">
        <f t="shared" si="5"/>
        <v>General|700to900</v>
      </c>
      <c r="L288" s="119">
        <f>AVERAGE(I288:I289,I342)</f>
        <v>0.40516015270989786</v>
      </c>
      <c r="M288" s="44">
        <f>AVERAGE(J288:J289,J342)</f>
        <v>16.513560336867727</v>
      </c>
      <c r="N288" s="216"/>
      <c r="O288" s="216"/>
      <c r="P288" s="112"/>
    </row>
    <row r="289" spans="2:16" x14ac:dyDescent="0.25">
      <c r="B289" s="122"/>
      <c r="C289" s="173" t="s">
        <v>333</v>
      </c>
      <c r="D289" s="173" t="s">
        <v>250</v>
      </c>
      <c r="E289" s="173" t="b">
        <v>0</v>
      </c>
      <c r="F289" s="173" t="s">
        <v>249</v>
      </c>
      <c r="G289" s="173" t="s">
        <v>248</v>
      </c>
      <c r="H289" s="34" t="str">
        <f t="shared" si="4"/>
        <v>Leven Northumbria|General|FALSE|700to900|DrainedArGr</v>
      </c>
      <c r="I289" s="119">
        <v>0.67487316611693415</v>
      </c>
      <c r="J289" s="119">
        <v>13.394826936756251</v>
      </c>
      <c r="K289" s="34" t="str">
        <f t="shared" si="5"/>
        <v>General|700to900</v>
      </c>
      <c r="L289" s="119"/>
      <c r="M289" s="44"/>
      <c r="N289" s="216"/>
      <c r="O289" s="216"/>
      <c r="P289" s="112"/>
    </row>
    <row r="290" spans="2:16" x14ac:dyDescent="0.25">
      <c r="B290" s="122"/>
      <c r="C290" s="173" t="s">
        <v>333</v>
      </c>
      <c r="D290" s="173" t="s">
        <v>250</v>
      </c>
      <c r="E290" s="173" t="b">
        <v>0</v>
      </c>
      <c r="F290" s="173" t="s">
        <v>259</v>
      </c>
      <c r="G290" s="173" t="s">
        <v>247</v>
      </c>
      <c r="H290" s="34" t="str">
        <f t="shared" si="4"/>
        <v>Leven Northumbria|General|FALSE|900to1200|FreeDrain</v>
      </c>
      <c r="I290" s="119">
        <v>0.22219734869525709</v>
      </c>
      <c r="J290" s="119">
        <v>20.629803450543683</v>
      </c>
      <c r="K290" s="34" t="str">
        <f t="shared" si="5"/>
        <v>General|900to1200</v>
      </c>
      <c r="L290" s="119">
        <f>AVERAGE(I290:I291,I347)</f>
        <v>0.72336959940048529</v>
      </c>
      <c r="M290" s="44">
        <f>AVERAGE(J290:J291,J347)</f>
        <v>18.858565147202892</v>
      </c>
      <c r="N290" s="216"/>
      <c r="O290" s="216"/>
      <c r="P290" s="112"/>
    </row>
    <row r="291" spans="2:16" x14ac:dyDescent="0.25">
      <c r="B291" s="122"/>
      <c r="C291" s="173" t="s">
        <v>333</v>
      </c>
      <c r="D291" s="173" t="s">
        <v>250</v>
      </c>
      <c r="E291" s="173" t="b">
        <v>0</v>
      </c>
      <c r="F291" s="173" t="s">
        <v>259</v>
      </c>
      <c r="G291" s="173" t="s">
        <v>248</v>
      </c>
      <c r="H291" s="34" t="str">
        <f t="shared" ref="H291:H319" si="6">C291&amp;"|"&amp;D291&amp;"|"&amp;E291&amp;"|"&amp;F291&amp;"|"&amp;G291</f>
        <v>Leven Northumbria|General|FALSE|900to1200|DrainedArGr</v>
      </c>
      <c r="I291" s="119">
        <v>1.1474170520209519</v>
      </c>
      <c r="J291" s="119">
        <v>15.678364717309316</v>
      </c>
      <c r="K291" s="34" t="str">
        <f t="shared" ref="K291:K319" si="7">D291&amp;"|"&amp;F291</f>
        <v>General|900to1200</v>
      </c>
      <c r="L291" s="119"/>
      <c r="M291" s="44"/>
      <c r="N291" s="216"/>
      <c r="O291" s="216"/>
      <c r="P291" s="112"/>
    </row>
    <row r="292" spans="2:16" x14ac:dyDescent="0.25">
      <c r="B292" s="122"/>
      <c r="C292" s="173" t="s">
        <v>333</v>
      </c>
      <c r="D292" s="173" t="s">
        <v>252</v>
      </c>
      <c r="E292" s="173" t="b">
        <v>0</v>
      </c>
      <c r="F292" s="173" t="s">
        <v>246</v>
      </c>
      <c r="G292" s="173" t="s">
        <v>245</v>
      </c>
      <c r="H292" s="34" t="str">
        <f t="shared" si="6"/>
        <v>Leven Northumbria|Pig|FALSE|600to700|DrainedAr</v>
      </c>
      <c r="I292" s="119">
        <v>0.32811784421300605</v>
      </c>
      <c r="J292" s="119">
        <v>72.882978828264243</v>
      </c>
      <c r="K292" s="34" t="str">
        <f t="shared" si="7"/>
        <v>Pig|600to700</v>
      </c>
      <c r="L292" s="119">
        <f>AVERAGE(I292,I356,I358)</f>
        <v>0.36867352207128518</v>
      </c>
      <c r="M292" s="44">
        <f>AVERAGE(J292,J356,J358)</f>
        <v>84.451357923199282</v>
      </c>
      <c r="N292" s="216"/>
      <c r="O292" s="216"/>
      <c r="P292" s="112"/>
    </row>
    <row r="293" spans="2:16" x14ac:dyDescent="0.25">
      <c r="B293" s="122"/>
      <c r="C293" s="173" t="s">
        <v>333</v>
      </c>
      <c r="D293" s="173" t="s">
        <v>252</v>
      </c>
      <c r="E293" s="173" t="b">
        <v>0</v>
      </c>
      <c r="F293" s="173" t="s">
        <v>249</v>
      </c>
      <c r="G293" s="173" t="s">
        <v>245</v>
      </c>
      <c r="H293" s="34" t="str">
        <f t="shared" si="6"/>
        <v>Leven Northumbria|Pig|FALSE|700to900|DrainedAr</v>
      </c>
      <c r="I293" s="119">
        <v>0.65942467434648644</v>
      </c>
      <c r="J293" s="119">
        <v>90.975997906913463</v>
      </c>
      <c r="K293" s="34" t="str">
        <f t="shared" si="7"/>
        <v>Pig|700to900</v>
      </c>
      <c r="L293" s="119">
        <f>AVERAGE(I293:I294,I360)</f>
        <v>0.65236468337479592</v>
      </c>
      <c r="M293" s="44">
        <f>AVERAGE(J293:J294,J360)</f>
        <v>99.519650317426397</v>
      </c>
      <c r="N293" s="216"/>
      <c r="O293" s="216"/>
      <c r="P293" s="112"/>
    </row>
    <row r="294" spans="2:16" x14ac:dyDescent="0.25">
      <c r="B294" s="122"/>
      <c r="C294" s="173" t="s">
        <v>333</v>
      </c>
      <c r="D294" s="173" t="s">
        <v>252</v>
      </c>
      <c r="E294" s="173" t="b">
        <v>0</v>
      </c>
      <c r="F294" s="173" t="s">
        <v>249</v>
      </c>
      <c r="G294" s="173" t="s">
        <v>248</v>
      </c>
      <c r="H294" s="34" t="str">
        <f t="shared" si="6"/>
        <v>Leven Northumbria|Pig|FALSE|700to900|DrainedArGr</v>
      </c>
      <c r="I294" s="119">
        <v>1.0912567472656112</v>
      </c>
      <c r="J294" s="119">
        <v>75.754595862686486</v>
      </c>
      <c r="K294" s="34" t="str">
        <f t="shared" si="7"/>
        <v>Pig|700to900</v>
      </c>
      <c r="L294" s="119"/>
      <c r="M294" s="44"/>
      <c r="N294" s="216"/>
      <c r="O294" s="216"/>
      <c r="P294" s="112"/>
    </row>
    <row r="295" spans="2:16" x14ac:dyDescent="0.25">
      <c r="B295" s="122"/>
      <c r="C295" s="173" t="s">
        <v>333</v>
      </c>
      <c r="D295" s="173" t="s">
        <v>252</v>
      </c>
      <c r="E295" s="173" t="b">
        <v>0</v>
      </c>
      <c r="F295" s="173" t="s">
        <v>259</v>
      </c>
      <c r="G295" s="173" t="s">
        <v>245</v>
      </c>
      <c r="H295" s="34" t="str">
        <f t="shared" si="6"/>
        <v>Leven Northumbria|Pig|FALSE|900to1200|DrainedAr</v>
      </c>
      <c r="I295" s="119">
        <v>1.1877671920989745</v>
      </c>
      <c r="J295" s="119">
        <v>108.78229404386845</v>
      </c>
      <c r="K295" s="34" t="str">
        <f t="shared" si="7"/>
        <v>Pig|900to1200</v>
      </c>
      <c r="L295" s="119">
        <f>AVERAGE(I295,I373:I374)</f>
        <v>1.0083206768945103</v>
      </c>
      <c r="M295" s="44">
        <f>AVERAGE(J295,J373:J374)</f>
        <v>104.52991903530976</v>
      </c>
      <c r="N295" s="216"/>
      <c r="O295" s="216"/>
      <c r="P295" s="112"/>
    </row>
    <row r="296" spans="2:16" x14ac:dyDescent="0.25">
      <c r="B296" s="122"/>
      <c r="C296" s="173" t="s">
        <v>333</v>
      </c>
      <c r="D296" s="173" t="s">
        <v>253</v>
      </c>
      <c r="E296" s="173" t="b">
        <v>0</v>
      </c>
      <c r="F296" s="173" t="s">
        <v>246</v>
      </c>
      <c r="G296" s="173" t="s">
        <v>248</v>
      </c>
      <c r="H296" s="34" t="str">
        <f t="shared" si="6"/>
        <v>Leven Northumbria|Poultry|FALSE|600to700|DrainedArGr</v>
      </c>
      <c r="I296" s="119">
        <v>0.48384111795036089</v>
      </c>
      <c r="J296" s="119">
        <v>46.389081521826441</v>
      </c>
      <c r="K296" s="34" t="str">
        <f t="shared" si="7"/>
        <v>Poultry|600to700</v>
      </c>
      <c r="L296" s="119">
        <f>AVERAGE(I296,I366:I367)</f>
        <v>0.2765421391818379</v>
      </c>
      <c r="M296" s="44">
        <f>AVERAGE(J296,J366:J367)</f>
        <v>72.197530692504998</v>
      </c>
      <c r="N296" s="216"/>
      <c r="O296" s="216"/>
      <c r="P296" s="112"/>
    </row>
    <row r="297" spans="2:16" x14ac:dyDescent="0.25">
      <c r="B297" s="122"/>
      <c r="C297" s="173" t="s">
        <v>333</v>
      </c>
      <c r="D297" s="173" t="s">
        <v>253</v>
      </c>
      <c r="E297" s="173" t="b">
        <v>0</v>
      </c>
      <c r="F297" s="173" t="s">
        <v>249</v>
      </c>
      <c r="G297" s="173" t="s">
        <v>248</v>
      </c>
      <c r="H297" s="34" t="str">
        <f t="shared" si="6"/>
        <v>Leven Northumbria|Poultry|FALSE|700to900|DrainedArGr</v>
      </c>
      <c r="I297" s="119">
        <v>0.83851349673906383</v>
      </c>
      <c r="J297" s="119">
        <v>50.751531197806862</v>
      </c>
      <c r="K297" s="34" t="str">
        <f t="shared" si="7"/>
        <v>Poultry|700to900</v>
      </c>
      <c r="L297" s="119">
        <f>AVERAGE(I297,I370)</f>
        <v>0.68509361685719283</v>
      </c>
      <c r="M297" s="44">
        <f>AVERAGE(J297,J370)</f>
        <v>67.964769610421627</v>
      </c>
      <c r="N297" s="216"/>
      <c r="O297" s="216"/>
      <c r="P297" s="112"/>
    </row>
    <row r="298" spans="2:16" x14ac:dyDescent="0.25">
      <c r="B298" s="122"/>
      <c r="C298" s="173" t="s">
        <v>333</v>
      </c>
      <c r="D298" s="173" t="s">
        <v>254</v>
      </c>
      <c r="E298" s="173" t="b">
        <v>0</v>
      </c>
      <c r="F298" s="173" t="s">
        <v>246</v>
      </c>
      <c r="G298" s="173" t="s">
        <v>245</v>
      </c>
      <c r="H298" s="34" t="str">
        <f t="shared" si="6"/>
        <v>Leven Northumbria|Dairy|FALSE|600to700|DrainedAr</v>
      </c>
      <c r="I298" s="119">
        <v>0.14039167033666905</v>
      </c>
      <c r="J298" s="119">
        <v>11.922942001635091</v>
      </c>
      <c r="K298" s="34" t="str">
        <f t="shared" si="7"/>
        <v>Dairy|600to700</v>
      </c>
      <c r="L298" s="119">
        <f>AVERAGE(I298:I299,I377)</f>
        <v>0.26731976578423422</v>
      </c>
      <c r="M298" s="44">
        <f>AVERAGE(J298:J299,J377)</f>
        <v>17.186654263513496</v>
      </c>
      <c r="N298" s="216"/>
      <c r="O298" s="216"/>
      <c r="P298" s="112"/>
    </row>
    <row r="299" spans="2:16" x14ac:dyDescent="0.25">
      <c r="B299" s="122"/>
      <c r="C299" s="173" t="s">
        <v>333</v>
      </c>
      <c r="D299" s="173" t="s">
        <v>254</v>
      </c>
      <c r="E299" s="173" t="b">
        <v>0</v>
      </c>
      <c r="F299" s="173" t="s">
        <v>246</v>
      </c>
      <c r="G299" s="173" t="s">
        <v>248</v>
      </c>
      <c r="H299" s="34" t="str">
        <f t="shared" si="6"/>
        <v>Leven Northumbria|Dairy|FALSE|600to700|DrainedArGr</v>
      </c>
      <c r="I299" s="119">
        <v>0.5376697147325642</v>
      </c>
      <c r="J299" s="119">
        <v>10.303418354651084</v>
      </c>
      <c r="K299" s="34" t="str">
        <f t="shared" si="7"/>
        <v>Dairy|600to700</v>
      </c>
      <c r="L299" s="119"/>
      <c r="M299" s="44"/>
      <c r="N299" s="216"/>
      <c r="O299" s="216"/>
      <c r="P299" s="112"/>
    </row>
    <row r="300" spans="2:16" x14ac:dyDescent="0.25">
      <c r="B300" s="122"/>
      <c r="C300" s="173" t="s">
        <v>333</v>
      </c>
      <c r="D300" s="173" t="s">
        <v>254</v>
      </c>
      <c r="E300" s="173" t="b">
        <v>1</v>
      </c>
      <c r="F300" s="173" t="s">
        <v>246</v>
      </c>
      <c r="G300" s="173" t="s">
        <v>248</v>
      </c>
      <c r="H300" s="34" t="str">
        <f t="shared" si="6"/>
        <v>Leven Northumbria|Dairy|TRUE|600to700|DrainedArGr</v>
      </c>
      <c r="I300" s="119">
        <v>0.52656064524692359</v>
      </c>
      <c r="J300" s="119">
        <v>10.157414327140952</v>
      </c>
      <c r="K300" s="34" t="str">
        <f t="shared" si="7"/>
        <v>Dairy|600to700</v>
      </c>
      <c r="L300" s="119"/>
      <c r="M300" s="44"/>
      <c r="N300" s="216"/>
      <c r="O300" s="216"/>
      <c r="P300" s="112"/>
    </row>
    <row r="301" spans="2:16" x14ac:dyDescent="0.25">
      <c r="B301" s="122"/>
      <c r="C301" s="173" t="s">
        <v>333</v>
      </c>
      <c r="D301" s="173" t="s">
        <v>254</v>
      </c>
      <c r="E301" s="173" t="b">
        <v>0</v>
      </c>
      <c r="F301" s="173" t="s">
        <v>249</v>
      </c>
      <c r="G301" s="173" t="s">
        <v>245</v>
      </c>
      <c r="H301" s="34" t="str">
        <f t="shared" si="6"/>
        <v>Leven Northumbria|Dairy|FALSE|700to900|DrainedAr</v>
      </c>
      <c r="I301" s="119">
        <v>0.25113264663647555</v>
      </c>
      <c r="J301" s="119">
        <v>18.814562958367176</v>
      </c>
      <c r="K301" s="34" t="str">
        <f t="shared" si="7"/>
        <v>Dairy|700to900</v>
      </c>
      <c r="L301" s="119">
        <f>AVERAGE(I301:I302,I382)</f>
        <v>0.42535397976498496</v>
      </c>
      <c r="M301" s="44">
        <f>AVERAGE(J301:J302,J382)</f>
        <v>24.341308473301392</v>
      </c>
      <c r="N301" s="216"/>
      <c r="O301" s="216"/>
      <c r="P301" s="112"/>
    </row>
    <row r="302" spans="2:16" x14ac:dyDescent="0.25">
      <c r="B302" s="122"/>
      <c r="C302" s="173" t="s">
        <v>333</v>
      </c>
      <c r="D302" s="173" t="s">
        <v>254</v>
      </c>
      <c r="E302" s="173" t="b">
        <v>0</v>
      </c>
      <c r="F302" s="173" t="s">
        <v>249</v>
      </c>
      <c r="G302" s="173" t="s">
        <v>248</v>
      </c>
      <c r="H302" s="34" t="str">
        <f t="shared" si="6"/>
        <v>Leven Northumbria|Dairy|FALSE|700to900|DrainedArGr</v>
      </c>
      <c r="I302" s="119">
        <v>0.83255744121299591</v>
      </c>
      <c r="J302" s="119">
        <v>12.815782250013541</v>
      </c>
      <c r="K302" s="34" t="str">
        <f t="shared" si="7"/>
        <v>Dairy|700to900</v>
      </c>
      <c r="L302" s="119"/>
      <c r="M302" s="44"/>
      <c r="N302" s="216"/>
      <c r="O302" s="216"/>
      <c r="P302" s="112"/>
    </row>
    <row r="303" spans="2:16" x14ac:dyDescent="0.25">
      <c r="B303" s="122"/>
      <c r="C303" s="173" t="s">
        <v>333</v>
      </c>
      <c r="D303" s="173" t="s">
        <v>254</v>
      </c>
      <c r="E303" s="173" t="b">
        <v>0</v>
      </c>
      <c r="F303" s="173" t="s">
        <v>259</v>
      </c>
      <c r="G303" s="173" t="s">
        <v>248</v>
      </c>
      <c r="H303" s="34" t="str">
        <f t="shared" si="6"/>
        <v>Leven Northumbria|Dairy|FALSE|900to1200|DrainedArGr</v>
      </c>
      <c r="I303" s="119">
        <v>1.3617470350225471</v>
      </c>
      <c r="J303" s="119">
        <v>17.293647881303436</v>
      </c>
      <c r="K303" s="34" t="str">
        <f t="shared" si="7"/>
        <v>Dairy|900to1200</v>
      </c>
      <c r="L303" s="119">
        <f>AVERAGE(I303)</f>
        <v>1.3617470350225471</v>
      </c>
      <c r="M303" s="44">
        <f>AVERAGE(J303)</f>
        <v>17.293647881303436</v>
      </c>
      <c r="N303" s="216"/>
      <c r="O303" s="216"/>
      <c r="P303" s="112"/>
    </row>
    <row r="304" spans="2:16" x14ac:dyDescent="0.25">
      <c r="B304" s="122"/>
      <c r="C304" s="173" t="s">
        <v>333</v>
      </c>
      <c r="D304" s="173" t="s">
        <v>255</v>
      </c>
      <c r="E304" s="173" t="b">
        <v>0</v>
      </c>
      <c r="F304" s="173" t="s">
        <v>246</v>
      </c>
      <c r="G304" s="173" t="s">
        <v>245</v>
      </c>
      <c r="H304" s="34" t="str">
        <f t="shared" si="6"/>
        <v>Leven Northumbria|LFA|FALSE|600to700|DrainedAr</v>
      </c>
      <c r="I304" s="119">
        <v>6.6211542042094146E-2</v>
      </c>
      <c r="J304" s="119">
        <v>5.6118650878483525</v>
      </c>
      <c r="K304" s="34" t="str">
        <f t="shared" si="7"/>
        <v>LFA|600to700</v>
      </c>
      <c r="L304" s="119">
        <f>AVERAGE(I304,I388,I390)</f>
        <v>0.13462964776456945</v>
      </c>
      <c r="M304" s="44">
        <f>AVERAGE(J304,J388,J390)</f>
        <v>6.1912464386702366</v>
      </c>
      <c r="N304" s="216"/>
      <c r="O304" s="216"/>
      <c r="P304" s="112"/>
    </row>
    <row r="305" spans="2:16" x14ac:dyDescent="0.25">
      <c r="B305" s="122"/>
      <c r="C305" s="173" t="s">
        <v>333</v>
      </c>
      <c r="D305" s="173" t="s">
        <v>255</v>
      </c>
      <c r="E305" s="173" t="b">
        <v>0</v>
      </c>
      <c r="F305" s="173" t="s">
        <v>249</v>
      </c>
      <c r="G305" s="173" t="s">
        <v>245</v>
      </c>
      <c r="H305" s="34" t="str">
        <f t="shared" si="6"/>
        <v>Leven Northumbria|LFA|FALSE|700to900|DrainedAr</v>
      </c>
      <c r="I305" s="119">
        <v>0.1122291228039623</v>
      </c>
      <c r="J305" s="119">
        <v>9.1777508994934571</v>
      </c>
      <c r="K305" s="34" t="str">
        <f t="shared" si="7"/>
        <v>LFA|700to900</v>
      </c>
      <c r="L305" s="119">
        <f>AVERAGE(I305:I306,I393)</f>
        <v>0.2389816153473566</v>
      </c>
      <c r="M305" s="44">
        <f>AVERAGE(J305:J306,J393)</f>
        <v>9.1380152241388739</v>
      </c>
      <c r="N305" s="216"/>
      <c r="O305" s="216"/>
      <c r="P305" s="112"/>
    </row>
    <row r="306" spans="2:16" x14ac:dyDescent="0.25">
      <c r="B306" s="122"/>
      <c r="C306" s="173" t="s">
        <v>333</v>
      </c>
      <c r="D306" s="173" t="s">
        <v>255</v>
      </c>
      <c r="E306" s="173" t="b">
        <v>0</v>
      </c>
      <c r="F306" s="173" t="s">
        <v>249</v>
      </c>
      <c r="G306" s="173" t="s">
        <v>248</v>
      </c>
      <c r="H306" s="34" t="str">
        <f t="shared" si="6"/>
        <v>Leven Northumbria|LFA|FALSE|700to900|DrainedArGr</v>
      </c>
      <c r="I306" s="119">
        <v>0.51307675213216786</v>
      </c>
      <c r="J306" s="119">
        <v>7.6231201418778234</v>
      </c>
      <c r="K306" s="34" t="str">
        <f t="shared" si="7"/>
        <v>LFA|700to900</v>
      </c>
      <c r="L306" s="119"/>
      <c r="M306" s="44"/>
      <c r="N306" s="216"/>
      <c r="O306" s="216"/>
      <c r="P306" s="112"/>
    </row>
    <row r="307" spans="2:16" x14ac:dyDescent="0.25">
      <c r="B307" s="122"/>
      <c r="C307" s="173" t="s">
        <v>333</v>
      </c>
      <c r="D307" s="173" t="s">
        <v>255</v>
      </c>
      <c r="E307" s="173" t="b">
        <v>0</v>
      </c>
      <c r="F307" s="173" t="s">
        <v>259</v>
      </c>
      <c r="G307" s="173" t="s">
        <v>247</v>
      </c>
      <c r="H307" s="34" t="str">
        <f t="shared" si="6"/>
        <v>Leven Northumbria|LFA|FALSE|900to1200|FreeDrain</v>
      </c>
      <c r="I307" s="119">
        <v>0.16124931219999405</v>
      </c>
      <c r="J307" s="119">
        <v>12.240869423786675</v>
      </c>
      <c r="K307" s="34" t="str">
        <f t="shared" si="7"/>
        <v>LFA|900to1200</v>
      </c>
      <c r="L307" s="119">
        <f>AVERAGE(I307:I309)</f>
        <v>0.40097849633398824</v>
      </c>
      <c r="M307" s="44">
        <f>AVERAGE(J307:J309)</f>
        <v>11.280277462298713</v>
      </c>
      <c r="N307" s="216"/>
      <c r="O307" s="216"/>
      <c r="P307" s="112"/>
    </row>
    <row r="308" spans="2:16" x14ac:dyDescent="0.25">
      <c r="B308" s="122"/>
      <c r="C308" s="173" t="s">
        <v>333</v>
      </c>
      <c r="D308" s="173" t="s">
        <v>255</v>
      </c>
      <c r="E308" s="173" t="b">
        <v>0</v>
      </c>
      <c r="F308" s="173" t="s">
        <v>259</v>
      </c>
      <c r="G308" s="173" t="s">
        <v>245</v>
      </c>
      <c r="H308" s="34" t="str">
        <f t="shared" si="6"/>
        <v>Leven Northumbria|LFA|FALSE|900to1200|DrainedAr</v>
      </c>
      <c r="I308" s="119">
        <v>0.18398812087615721</v>
      </c>
      <c r="J308" s="119">
        <v>11.671079537180219</v>
      </c>
      <c r="K308" s="34" t="str">
        <f t="shared" si="7"/>
        <v>LFA|900to1200</v>
      </c>
      <c r="L308" s="119"/>
      <c r="M308" s="44"/>
      <c r="N308" s="216"/>
      <c r="O308" s="216"/>
      <c r="P308" s="112"/>
    </row>
    <row r="309" spans="2:16" x14ac:dyDescent="0.25">
      <c r="B309" s="122"/>
      <c r="C309" s="173" t="s">
        <v>333</v>
      </c>
      <c r="D309" s="173" t="s">
        <v>255</v>
      </c>
      <c r="E309" s="173" t="b">
        <v>0</v>
      </c>
      <c r="F309" s="173" t="s">
        <v>259</v>
      </c>
      <c r="G309" s="173" t="s">
        <v>248</v>
      </c>
      <c r="H309" s="34" t="str">
        <f t="shared" si="6"/>
        <v>Leven Northumbria|LFA|FALSE|900to1200|DrainedArGr</v>
      </c>
      <c r="I309" s="119">
        <v>0.85769805592581339</v>
      </c>
      <c r="J309" s="119">
        <v>9.9288834259292447</v>
      </c>
      <c r="K309" s="34" t="str">
        <f t="shared" si="7"/>
        <v>LFA|900to1200</v>
      </c>
      <c r="L309" s="119"/>
      <c r="M309" s="44"/>
      <c r="N309" s="216"/>
      <c r="O309" s="216"/>
      <c r="P309" s="112"/>
    </row>
    <row r="310" spans="2:16" x14ac:dyDescent="0.25">
      <c r="B310" s="122"/>
      <c r="C310" s="173" t="s">
        <v>333</v>
      </c>
      <c r="D310" s="173" t="s">
        <v>256</v>
      </c>
      <c r="E310" s="173" t="b">
        <v>0</v>
      </c>
      <c r="F310" s="173" t="s">
        <v>246</v>
      </c>
      <c r="G310" s="173" t="s">
        <v>245</v>
      </c>
      <c r="H310" s="34" t="str">
        <f t="shared" si="6"/>
        <v>Leven Northumbria|Lowland|FALSE|600to700|DrainedAr</v>
      </c>
      <c r="I310" s="119">
        <v>0.12180074343671188</v>
      </c>
      <c r="J310" s="119">
        <v>8.0589761062705616</v>
      </c>
      <c r="K310" s="34" t="str">
        <f t="shared" si="7"/>
        <v>Lowland|600to700</v>
      </c>
      <c r="L310" s="119">
        <f>AVERAGE(I310:I311,I406)</f>
        <v>0.22230069129635713</v>
      </c>
      <c r="M310" s="44">
        <f>AVERAGE(J310:J311,J406)</f>
        <v>9.4445131542007736</v>
      </c>
      <c r="N310" s="216"/>
      <c r="O310" s="216"/>
      <c r="P310" s="112"/>
    </row>
    <row r="311" spans="2:16" x14ac:dyDescent="0.25">
      <c r="B311" s="122"/>
      <c r="C311" s="173" t="s">
        <v>333</v>
      </c>
      <c r="D311" s="173" t="s">
        <v>256</v>
      </c>
      <c r="E311" s="173" t="b">
        <v>0</v>
      </c>
      <c r="F311" s="173" t="s">
        <v>246</v>
      </c>
      <c r="G311" s="173" t="s">
        <v>248</v>
      </c>
      <c r="H311" s="34" t="str">
        <f t="shared" si="6"/>
        <v>Leven Northumbria|Lowland|FALSE|600to700|DrainedArGr</v>
      </c>
      <c r="I311" s="119">
        <v>0.47255467735056012</v>
      </c>
      <c r="J311" s="119">
        <v>8.0699399914651853</v>
      </c>
      <c r="K311" s="34" t="str">
        <f t="shared" si="7"/>
        <v>Lowland|600to700</v>
      </c>
      <c r="L311" s="119"/>
      <c r="M311" s="44"/>
      <c r="N311" s="216"/>
      <c r="O311" s="216"/>
      <c r="P311" s="112"/>
    </row>
    <row r="312" spans="2:16" x14ac:dyDescent="0.25">
      <c r="B312" s="122"/>
      <c r="C312" s="173" t="s">
        <v>333</v>
      </c>
      <c r="D312" s="173" t="s">
        <v>256</v>
      </c>
      <c r="E312" s="173" t="b">
        <v>0</v>
      </c>
      <c r="F312" s="173" t="s">
        <v>249</v>
      </c>
      <c r="G312" s="173" t="s">
        <v>245</v>
      </c>
      <c r="H312" s="34" t="str">
        <f t="shared" si="6"/>
        <v>Leven Northumbria|Lowland|FALSE|700to900|DrainedAr</v>
      </c>
      <c r="I312" s="119">
        <v>0.21979292677485968</v>
      </c>
      <c r="J312" s="119">
        <v>12.882530665995459</v>
      </c>
      <c r="K312" s="34" t="str">
        <f t="shared" si="7"/>
        <v>Lowland|700to900</v>
      </c>
      <c r="L312" s="119">
        <f>AVERAGE(I312:I313,I412)</f>
        <v>0.36183397549686047</v>
      </c>
      <c r="M312" s="44">
        <f>AVERAGE(J312:J313,J412)</f>
        <v>13.357405568023504</v>
      </c>
      <c r="N312" s="216"/>
      <c r="O312" s="216"/>
      <c r="P312" s="112"/>
    </row>
    <row r="313" spans="2:16" x14ac:dyDescent="0.25">
      <c r="B313" s="122"/>
      <c r="C313" s="173" t="s">
        <v>333</v>
      </c>
      <c r="D313" s="173" t="s">
        <v>256</v>
      </c>
      <c r="E313" s="173" t="b">
        <v>0</v>
      </c>
      <c r="F313" s="173" t="s">
        <v>249</v>
      </c>
      <c r="G313" s="173" t="s">
        <v>248</v>
      </c>
      <c r="H313" s="34" t="str">
        <f t="shared" si="6"/>
        <v>Leven Northumbria|Lowland|FALSE|700to900|DrainedArGr</v>
      </c>
      <c r="I313" s="119">
        <v>0.74152216416830008</v>
      </c>
      <c r="J313" s="119">
        <v>9.9137616853497406</v>
      </c>
      <c r="K313" s="34" t="str">
        <f t="shared" si="7"/>
        <v>Lowland|700to900</v>
      </c>
      <c r="L313" s="119"/>
      <c r="M313" s="44"/>
      <c r="N313" s="216"/>
      <c r="O313" s="216"/>
      <c r="P313" s="112"/>
    </row>
    <row r="314" spans="2:16" x14ac:dyDescent="0.25">
      <c r="B314" s="122"/>
      <c r="C314" s="173" t="s">
        <v>333</v>
      </c>
      <c r="D314" s="173" t="s">
        <v>256</v>
      </c>
      <c r="E314" s="173" t="b">
        <v>0</v>
      </c>
      <c r="F314" s="173" t="s">
        <v>259</v>
      </c>
      <c r="G314" s="173" t="s">
        <v>248</v>
      </c>
      <c r="H314" s="34" t="str">
        <f t="shared" si="6"/>
        <v>Leven Northumbria|Lowland|FALSE|900to1200|DrainedArGr</v>
      </c>
      <c r="I314" s="119">
        <v>1.2208883010552287</v>
      </c>
      <c r="J314" s="119">
        <v>13.040459621897416</v>
      </c>
      <c r="K314" s="34" t="str">
        <f t="shared" si="7"/>
        <v>Lowland|900to1200</v>
      </c>
      <c r="L314" s="119">
        <f>AVERAGE(I314,I416)</f>
        <v>0.70555047758581302</v>
      </c>
      <c r="M314" s="44">
        <f>AVERAGE(J314,J416)</f>
        <v>15.774839841507603</v>
      </c>
      <c r="N314" s="216"/>
      <c r="O314" s="216"/>
      <c r="P314" s="112"/>
    </row>
    <row r="315" spans="2:16" x14ac:dyDescent="0.25">
      <c r="B315" s="122"/>
      <c r="C315" s="173" t="s">
        <v>333</v>
      </c>
      <c r="D315" s="173" t="s">
        <v>257</v>
      </c>
      <c r="E315" s="173" t="b">
        <v>0</v>
      </c>
      <c r="F315" s="173" t="s">
        <v>246</v>
      </c>
      <c r="G315" s="173" t="s">
        <v>245</v>
      </c>
      <c r="H315" s="34" t="str">
        <f t="shared" si="6"/>
        <v>Leven Northumbria|Mixed|FALSE|600to700|DrainedAr</v>
      </c>
      <c r="I315" s="119">
        <v>0.22471170566479268</v>
      </c>
      <c r="J315" s="119">
        <v>16.928804352827502</v>
      </c>
      <c r="K315" s="34" t="str">
        <f t="shared" si="7"/>
        <v>Mixed|600to700</v>
      </c>
      <c r="L315" s="119">
        <f>AVERAGE(I315:I316,I420)</f>
        <v>0.28171874006703024</v>
      </c>
      <c r="M315" s="44">
        <f>AVERAGE(J315:J316,J420)</f>
        <v>19.54112842755093</v>
      </c>
      <c r="N315" s="216"/>
      <c r="O315" s="216"/>
      <c r="P315" s="112"/>
    </row>
    <row r="316" spans="2:16" x14ac:dyDescent="0.25">
      <c r="B316" s="122"/>
      <c r="C316" s="173" t="s">
        <v>333</v>
      </c>
      <c r="D316" s="173" t="s">
        <v>257</v>
      </c>
      <c r="E316" s="173" t="b">
        <v>0</v>
      </c>
      <c r="F316" s="173" t="s">
        <v>246</v>
      </c>
      <c r="G316" s="173" t="s">
        <v>248</v>
      </c>
      <c r="H316" s="34" t="str">
        <f t="shared" si="6"/>
        <v>Leven Northumbria|Mixed|FALSE|600to700|DrainedArGr</v>
      </c>
      <c r="I316" s="119">
        <v>0.54869915182591167</v>
      </c>
      <c r="J316" s="119">
        <v>17.265032399027554</v>
      </c>
      <c r="K316" s="34" t="str">
        <f t="shared" si="7"/>
        <v>Mixed|600to700</v>
      </c>
      <c r="L316" s="119"/>
      <c r="M316" s="44"/>
      <c r="N316" s="216"/>
      <c r="O316" s="216"/>
      <c r="P316" s="112"/>
    </row>
    <row r="317" spans="2:16" x14ac:dyDescent="0.25">
      <c r="B317" s="122"/>
      <c r="C317" s="173" t="s">
        <v>333</v>
      </c>
      <c r="D317" s="173" t="s">
        <v>257</v>
      </c>
      <c r="E317" s="173" t="b">
        <v>0</v>
      </c>
      <c r="F317" s="173" t="s">
        <v>249</v>
      </c>
      <c r="G317" s="173" t="s">
        <v>247</v>
      </c>
      <c r="H317" s="34" t="str">
        <f t="shared" si="6"/>
        <v>Leven Northumbria|Mixed|FALSE|700to900|FreeDrain</v>
      </c>
      <c r="I317" s="119">
        <v>0.16657773810894158</v>
      </c>
      <c r="J317" s="119">
        <v>29.847605381478918</v>
      </c>
      <c r="K317" s="34" t="str">
        <f t="shared" si="7"/>
        <v>Mixed|700to900</v>
      </c>
      <c r="L317" s="119">
        <f>AVERAGE(I317:I318,I428)</f>
        <v>0.50814300711416882</v>
      </c>
      <c r="M317" s="44">
        <f>AVERAGE(J317:J318,J428)</f>
        <v>24.374664123569044</v>
      </c>
      <c r="N317" s="216"/>
      <c r="O317" s="216"/>
      <c r="P317" s="112"/>
    </row>
    <row r="318" spans="2:16" x14ac:dyDescent="0.25">
      <c r="B318" s="122"/>
      <c r="C318" s="173" t="s">
        <v>333</v>
      </c>
      <c r="D318" s="173" t="s">
        <v>257</v>
      </c>
      <c r="E318" s="173" t="b">
        <v>0</v>
      </c>
      <c r="F318" s="173" t="s">
        <v>249</v>
      </c>
      <c r="G318" s="173" t="s">
        <v>248</v>
      </c>
      <c r="H318" s="34" t="str">
        <f t="shared" si="6"/>
        <v>Leven Northumbria|Mixed|FALSE|700to900|DrainedArGr</v>
      </c>
      <c r="I318" s="119">
        <v>0.90885687379475022</v>
      </c>
      <c r="J318" s="119">
        <v>19.597853947713926</v>
      </c>
      <c r="K318" s="34" t="str">
        <f t="shared" si="7"/>
        <v>Mixed|700to900</v>
      </c>
      <c r="L318" s="119"/>
      <c r="M318" s="44"/>
      <c r="N318" s="216"/>
      <c r="O318" s="216"/>
      <c r="P318" s="112"/>
    </row>
    <row r="319" spans="2:16" x14ac:dyDescent="0.25">
      <c r="B319" s="122"/>
      <c r="C319" s="173" t="s">
        <v>333</v>
      </c>
      <c r="D319" s="173" t="s">
        <v>257</v>
      </c>
      <c r="E319" s="173" t="b">
        <v>0</v>
      </c>
      <c r="F319" s="173" t="s">
        <v>259</v>
      </c>
      <c r="G319" s="173" t="s">
        <v>248</v>
      </c>
      <c r="H319" s="34" t="str">
        <f t="shared" si="6"/>
        <v>Leven Northumbria|Mixed|FALSE|900to1200|DrainedArGr</v>
      </c>
      <c r="I319" s="119">
        <v>1.487266889647592</v>
      </c>
      <c r="J319" s="119">
        <v>23.30550413732</v>
      </c>
      <c r="K319" s="34" t="str">
        <f t="shared" si="7"/>
        <v>Mixed|900to1200</v>
      </c>
      <c r="L319" s="119">
        <f>AVERAGE(I319,I432)</f>
        <v>0.87187341941716046</v>
      </c>
      <c r="M319" s="44">
        <f>AVERAGE(J319,J432)</f>
        <v>28.040490493311196</v>
      </c>
      <c r="N319" s="216"/>
      <c r="O319" s="216"/>
      <c r="P319" s="112"/>
    </row>
    <row r="320" spans="2:16" x14ac:dyDescent="0.25">
      <c r="B320" s="122"/>
      <c r="C320" s="173" t="s">
        <v>264</v>
      </c>
      <c r="D320" s="173" t="s">
        <v>243</v>
      </c>
      <c r="E320" s="173" t="b">
        <v>0</v>
      </c>
      <c r="F320" s="173" t="s">
        <v>244</v>
      </c>
      <c r="G320" s="173" t="s">
        <v>245</v>
      </c>
      <c r="H320" s="43" t="str">
        <f>D320&amp;"|"&amp;E320&amp;"|"&amp;F320&amp;"|"&amp;G320</f>
        <v>Cereals|FALSE|Under600|DrainedAr</v>
      </c>
      <c r="I320" s="119">
        <v>0.20121294187411687</v>
      </c>
      <c r="J320" s="44">
        <v>15.665248597532113</v>
      </c>
      <c r="K320" s="215"/>
      <c r="L320" s="216"/>
      <c r="M320" s="216"/>
      <c r="N320" s="216"/>
      <c r="O320" s="216"/>
      <c r="P320" s="112"/>
    </row>
    <row r="321" spans="2:16" x14ac:dyDescent="0.25">
      <c r="B321" s="122"/>
      <c r="C321" s="173" t="s">
        <v>264</v>
      </c>
      <c r="D321" s="173" t="s">
        <v>243</v>
      </c>
      <c r="E321" s="173" t="b">
        <v>0</v>
      </c>
      <c r="F321" s="173" t="s">
        <v>246</v>
      </c>
      <c r="G321" s="173" t="s">
        <v>247</v>
      </c>
      <c r="H321" s="43" t="str">
        <f t="shared" ref="H321:H384" si="8">D321&amp;"|"&amp;E321&amp;"|"&amp;F321&amp;"|"&amp;G321</f>
        <v>Cereals|FALSE|600to700|FreeDrain</v>
      </c>
      <c r="I321" s="119">
        <v>5.6999954755754131E-2</v>
      </c>
      <c r="J321" s="44">
        <v>24.575289329763095</v>
      </c>
      <c r="K321" s="215"/>
      <c r="L321" s="216"/>
      <c r="M321" s="216"/>
      <c r="N321" s="216"/>
      <c r="O321" s="216"/>
      <c r="P321" s="112"/>
    </row>
    <row r="322" spans="2:16" x14ac:dyDescent="0.25">
      <c r="B322" s="122"/>
      <c r="C322" s="173" t="s">
        <v>264</v>
      </c>
      <c r="D322" s="173" t="s">
        <v>243</v>
      </c>
      <c r="E322" s="173" t="b">
        <v>1</v>
      </c>
      <c r="F322" s="173" t="s">
        <v>246</v>
      </c>
      <c r="G322" s="173" t="s">
        <v>247</v>
      </c>
      <c r="H322" s="43" t="str">
        <f t="shared" si="8"/>
        <v>Cereals|TRUE|600to700|FreeDrain</v>
      </c>
      <c r="I322" s="119">
        <v>5.6992358208295485E-2</v>
      </c>
      <c r="J322" s="44">
        <v>24.493243250811126</v>
      </c>
      <c r="K322" s="215"/>
      <c r="L322" s="216"/>
      <c r="M322" s="216"/>
      <c r="N322" s="216"/>
      <c r="O322" s="216"/>
      <c r="P322" s="112"/>
    </row>
    <row r="323" spans="2:16" x14ac:dyDescent="0.25">
      <c r="B323" s="122"/>
      <c r="C323" s="173" t="s">
        <v>264</v>
      </c>
      <c r="D323" s="173" t="s">
        <v>243</v>
      </c>
      <c r="E323" s="173" t="b">
        <v>0</v>
      </c>
      <c r="F323" s="173" t="s">
        <v>246</v>
      </c>
      <c r="G323" s="173" t="s">
        <v>245</v>
      </c>
      <c r="H323" s="43" t="str">
        <f t="shared" si="8"/>
        <v>Cereals|FALSE|600to700|DrainedAr</v>
      </c>
      <c r="I323" s="119">
        <v>0.29772197569596937</v>
      </c>
      <c r="J323" s="44">
        <v>18.227485688762027</v>
      </c>
      <c r="K323" s="215"/>
      <c r="L323" s="216"/>
      <c r="M323" s="216"/>
      <c r="N323" s="216"/>
      <c r="O323" s="216"/>
      <c r="P323" s="112"/>
    </row>
    <row r="324" spans="2:16" x14ac:dyDescent="0.25">
      <c r="B324" s="122"/>
      <c r="C324" s="173" t="s">
        <v>264</v>
      </c>
      <c r="D324" s="173" t="s">
        <v>243</v>
      </c>
      <c r="E324" s="173" t="b">
        <v>1</v>
      </c>
      <c r="F324" s="173" t="s">
        <v>246</v>
      </c>
      <c r="G324" s="173" t="s">
        <v>245</v>
      </c>
      <c r="H324" s="43" t="str">
        <f t="shared" si="8"/>
        <v>Cereals|TRUE|600to700|DrainedAr</v>
      </c>
      <c r="I324" s="119">
        <v>0.29769232345853663</v>
      </c>
      <c r="J324" s="44">
        <v>18.170746271230438</v>
      </c>
      <c r="K324" s="215"/>
      <c r="L324" s="216"/>
      <c r="M324" s="216"/>
      <c r="N324" s="216"/>
      <c r="O324" s="216"/>
      <c r="P324" s="112"/>
    </row>
    <row r="325" spans="2:16" x14ac:dyDescent="0.25">
      <c r="B325" s="122"/>
      <c r="C325" s="173" t="s">
        <v>264</v>
      </c>
      <c r="D325" s="173" t="s">
        <v>243</v>
      </c>
      <c r="E325" s="173" t="b">
        <v>0</v>
      </c>
      <c r="F325" s="173" t="s">
        <v>246</v>
      </c>
      <c r="G325" s="173" t="s">
        <v>248</v>
      </c>
      <c r="H325" s="43" t="str">
        <f t="shared" si="8"/>
        <v>Cereals|FALSE|600to700|DrainedArGr</v>
      </c>
      <c r="I325" s="119">
        <v>0.5088797047190271</v>
      </c>
      <c r="J325" s="44">
        <v>19.598921793776647</v>
      </c>
      <c r="K325" s="215"/>
      <c r="L325" s="216"/>
      <c r="M325" s="216"/>
      <c r="N325" s="216"/>
      <c r="O325" s="216"/>
      <c r="P325" s="112"/>
    </row>
    <row r="326" spans="2:16" x14ac:dyDescent="0.25">
      <c r="B326" s="122"/>
      <c r="C326" s="173" t="s">
        <v>264</v>
      </c>
      <c r="D326" s="173" t="s">
        <v>243</v>
      </c>
      <c r="E326" s="173" t="b">
        <v>1</v>
      </c>
      <c r="F326" s="173" t="s">
        <v>246</v>
      </c>
      <c r="G326" s="173" t="s">
        <v>248</v>
      </c>
      <c r="H326" s="43" t="str">
        <f t="shared" si="8"/>
        <v>Cereals|TRUE|600to700|DrainedArGr</v>
      </c>
      <c r="I326" s="119">
        <v>0.50878515042034256</v>
      </c>
      <c r="J326" s="44">
        <v>19.542651317652457</v>
      </c>
      <c r="K326" s="215"/>
      <c r="L326" s="216"/>
      <c r="M326" s="216"/>
      <c r="N326" s="216"/>
      <c r="O326" s="216"/>
      <c r="P326" s="112"/>
    </row>
    <row r="327" spans="2:16" x14ac:dyDescent="0.25">
      <c r="B327" s="122"/>
      <c r="C327" s="173" t="s">
        <v>264</v>
      </c>
      <c r="D327" s="173" t="s">
        <v>243</v>
      </c>
      <c r="E327" s="173" t="b">
        <v>0</v>
      </c>
      <c r="F327" s="173" t="s">
        <v>249</v>
      </c>
      <c r="G327" s="173" t="s">
        <v>247</v>
      </c>
      <c r="H327" s="43" t="str">
        <f t="shared" si="8"/>
        <v>Cereals|FALSE|700to900|FreeDrain</v>
      </c>
      <c r="I327" s="119">
        <v>0.15765761489568367</v>
      </c>
      <c r="J327" s="44">
        <v>29.575493994780214</v>
      </c>
      <c r="K327" s="215"/>
      <c r="L327" s="216"/>
      <c r="M327" s="216"/>
      <c r="N327" s="216"/>
      <c r="O327" s="216"/>
      <c r="P327" s="112"/>
    </row>
    <row r="328" spans="2:16" x14ac:dyDescent="0.25">
      <c r="B328" s="122"/>
      <c r="C328" s="173" t="s">
        <v>264</v>
      </c>
      <c r="D328" s="173" t="s">
        <v>243</v>
      </c>
      <c r="E328" s="173" t="b">
        <v>1</v>
      </c>
      <c r="F328" s="173" t="s">
        <v>249</v>
      </c>
      <c r="G328" s="173" t="s">
        <v>247</v>
      </c>
      <c r="H328" s="43" t="str">
        <f t="shared" si="8"/>
        <v>Cereals|TRUE|700to900|FreeDrain</v>
      </c>
      <c r="I328" s="119">
        <v>0.15764349437966046</v>
      </c>
      <c r="J328" s="44">
        <v>29.477984915505388</v>
      </c>
      <c r="K328" s="215"/>
      <c r="L328" s="216"/>
      <c r="M328" s="216"/>
      <c r="N328" s="216"/>
      <c r="O328" s="216"/>
      <c r="P328" s="112"/>
    </row>
    <row r="329" spans="2:16" x14ac:dyDescent="0.25">
      <c r="B329" s="122"/>
      <c r="C329" s="173" t="s">
        <v>264</v>
      </c>
      <c r="D329" s="173" t="s">
        <v>243</v>
      </c>
      <c r="E329" s="173" t="b">
        <v>0</v>
      </c>
      <c r="F329" s="173" t="s">
        <v>249</v>
      </c>
      <c r="G329" s="173" t="s">
        <v>245</v>
      </c>
      <c r="H329" s="43" t="str">
        <f t="shared" si="8"/>
        <v>Cereals|FALSE|700to900|DrainedAr</v>
      </c>
      <c r="I329" s="119">
        <v>0.64463588683027251</v>
      </c>
      <c r="J329" s="44">
        <v>22.964600808616908</v>
      </c>
      <c r="K329" s="215"/>
      <c r="L329" s="216"/>
      <c r="M329" s="216"/>
      <c r="N329" s="216"/>
      <c r="O329" s="216"/>
      <c r="P329" s="112"/>
    </row>
    <row r="330" spans="2:16" x14ac:dyDescent="0.25">
      <c r="B330" s="122"/>
      <c r="C330" s="173" t="s">
        <v>264</v>
      </c>
      <c r="D330" s="173" t="s">
        <v>243</v>
      </c>
      <c r="E330" s="173" t="b">
        <v>1</v>
      </c>
      <c r="F330" s="173" t="s">
        <v>249</v>
      </c>
      <c r="G330" s="173" t="s">
        <v>245</v>
      </c>
      <c r="H330" s="43" t="str">
        <f t="shared" si="8"/>
        <v>Cereals|TRUE|700to900|DrainedAr</v>
      </c>
      <c r="I330" s="119">
        <v>0.64458700973223626</v>
      </c>
      <c r="J330" s="44">
        <v>22.894996136186187</v>
      </c>
      <c r="K330" s="215"/>
      <c r="L330" s="216"/>
      <c r="M330" s="216"/>
      <c r="N330" s="216"/>
      <c r="O330" s="216"/>
      <c r="P330" s="112"/>
    </row>
    <row r="331" spans="2:16" x14ac:dyDescent="0.25">
      <c r="B331" s="122"/>
      <c r="C331" s="173" t="s">
        <v>264</v>
      </c>
      <c r="D331" s="173" t="s">
        <v>243</v>
      </c>
      <c r="E331" s="173" t="b">
        <v>0</v>
      </c>
      <c r="F331" s="173" t="s">
        <v>249</v>
      </c>
      <c r="G331" s="173" t="s">
        <v>248</v>
      </c>
      <c r="H331" s="43" t="str">
        <f t="shared" si="8"/>
        <v>Cereals|FALSE|700to900|DrainedArGr</v>
      </c>
      <c r="I331" s="119">
        <v>0.90346144706164455</v>
      </c>
      <c r="J331" s="44">
        <v>21.678187417506134</v>
      </c>
      <c r="K331" s="215"/>
      <c r="L331" s="216"/>
      <c r="M331" s="216"/>
      <c r="N331" s="216"/>
      <c r="O331" s="216"/>
      <c r="P331" s="112"/>
    </row>
    <row r="332" spans="2:16" x14ac:dyDescent="0.25">
      <c r="B332" s="122"/>
      <c r="C332" s="173" t="s">
        <v>264</v>
      </c>
      <c r="D332" s="173" t="s">
        <v>243</v>
      </c>
      <c r="E332" s="173" t="b">
        <v>1</v>
      </c>
      <c r="F332" s="173" t="s">
        <v>249</v>
      </c>
      <c r="G332" s="173" t="s">
        <v>248</v>
      </c>
      <c r="H332" s="43" t="str">
        <f t="shared" si="8"/>
        <v>Cereals|TRUE|700to900|DrainedArGr</v>
      </c>
      <c r="I332" s="119">
        <v>0.90332859135235888</v>
      </c>
      <c r="J332" s="44">
        <v>21.62006502528515</v>
      </c>
      <c r="K332" s="215"/>
      <c r="L332" s="216"/>
      <c r="M332" s="216"/>
      <c r="N332" s="216"/>
      <c r="O332" s="216"/>
      <c r="P332" s="112"/>
    </row>
    <row r="333" spans="2:16" x14ac:dyDescent="0.25">
      <c r="B333" s="122"/>
      <c r="C333" s="173" t="s">
        <v>264</v>
      </c>
      <c r="D333" s="173" t="s">
        <v>243</v>
      </c>
      <c r="E333" s="173" t="b">
        <v>0</v>
      </c>
      <c r="F333" s="173" t="s">
        <v>259</v>
      </c>
      <c r="G333" s="173" t="s">
        <v>247</v>
      </c>
      <c r="H333" s="43" t="str">
        <f t="shared" si="8"/>
        <v>Cereals|FALSE|900to1200|FreeDrain</v>
      </c>
      <c r="I333" s="119">
        <v>0.27080378277863371</v>
      </c>
      <c r="J333" s="44">
        <v>31.383580532112443</v>
      </c>
      <c r="K333" s="215"/>
      <c r="L333" s="216"/>
      <c r="M333" s="216"/>
      <c r="N333" s="216"/>
      <c r="O333" s="216"/>
      <c r="P333" s="112"/>
    </row>
    <row r="334" spans="2:16" x14ac:dyDescent="0.25">
      <c r="B334" s="122"/>
      <c r="C334" s="173" t="s">
        <v>264</v>
      </c>
      <c r="D334" s="173" t="s">
        <v>243</v>
      </c>
      <c r="E334" s="173" t="b">
        <v>0</v>
      </c>
      <c r="F334" s="173" t="s">
        <v>259</v>
      </c>
      <c r="G334" s="173" t="s">
        <v>248</v>
      </c>
      <c r="H334" s="43" t="str">
        <f t="shared" si="8"/>
        <v>Cereals|FALSE|900to1200|DrainedArGr</v>
      </c>
      <c r="I334" s="119">
        <v>1.4889992439113808</v>
      </c>
      <c r="J334" s="44">
        <v>25.15940192912122</v>
      </c>
      <c r="K334" s="215"/>
      <c r="L334" s="216"/>
      <c r="M334" s="216"/>
      <c r="N334" s="216"/>
      <c r="O334" s="216"/>
      <c r="P334" s="112"/>
    </row>
    <row r="335" spans="2:16" x14ac:dyDescent="0.25">
      <c r="B335" s="122"/>
      <c r="C335" s="173" t="s">
        <v>264</v>
      </c>
      <c r="D335" s="173" t="s">
        <v>250</v>
      </c>
      <c r="E335" s="173" t="b">
        <v>0</v>
      </c>
      <c r="F335" s="173" t="s">
        <v>246</v>
      </c>
      <c r="G335" s="173" t="s">
        <v>247</v>
      </c>
      <c r="H335" s="43" t="str">
        <f t="shared" si="8"/>
        <v>General|FALSE|600to700|FreeDrain</v>
      </c>
      <c r="I335" s="119">
        <v>4.6127823388493056E-2</v>
      </c>
      <c r="J335" s="44">
        <v>17.868919075769575</v>
      </c>
      <c r="K335" s="215"/>
      <c r="L335" s="216"/>
      <c r="M335" s="216"/>
      <c r="N335" s="216"/>
      <c r="O335" s="216"/>
      <c r="P335" s="112"/>
    </row>
    <row r="336" spans="2:16" x14ac:dyDescent="0.25">
      <c r="B336" s="122"/>
      <c r="C336" s="173" t="s">
        <v>264</v>
      </c>
      <c r="D336" s="173" t="s">
        <v>250</v>
      </c>
      <c r="E336" s="173" t="b">
        <v>1</v>
      </c>
      <c r="F336" s="173" t="s">
        <v>246</v>
      </c>
      <c r="G336" s="173" t="s">
        <v>247</v>
      </c>
      <c r="H336" s="43" t="str">
        <f t="shared" si="8"/>
        <v>General|TRUE|600to700|FreeDrain</v>
      </c>
      <c r="I336" s="119">
        <v>4.6127823388493056E-2</v>
      </c>
      <c r="J336" s="44">
        <v>17.818907633639249</v>
      </c>
      <c r="K336" s="215"/>
      <c r="L336" s="216"/>
      <c r="M336" s="216"/>
      <c r="N336" s="216"/>
      <c r="O336" s="216"/>
      <c r="P336" s="112"/>
    </row>
    <row r="337" spans="2:16" x14ac:dyDescent="0.25">
      <c r="B337" s="122"/>
      <c r="C337" s="173" t="s">
        <v>264</v>
      </c>
      <c r="D337" s="173" t="s">
        <v>250</v>
      </c>
      <c r="E337" s="173" t="b">
        <v>0</v>
      </c>
      <c r="F337" s="173" t="s">
        <v>246</v>
      </c>
      <c r="G337" s="173" t="s">
        <v>245</v>
      </c>
      <c r="H337" s="43" t="str">
        <f t="shared" si="8"/>
        <v>General|FALSE|600to700|DrainedAr</v>
      </c>
      <c r="I337" s="119">
        <v>0.19851855218728132</v>
      </c>
      <c r="J337" s="44">
        <v>12.708080329659454</v>
      </c>
      <c r="K337" s="215"/>
      <c r="L337" s="216"/>
      <c r="M337" s="216"/>
      <c r="N337" s="216"/>
      <c r="O337" s="216"/>
      <c r="P337" s="112"/>
    </row>
    <row r="338" spans="2:16" x14ac:dyDescent="0.25">
      <c r="B338" s="122"/>
      <c r="C338" s="173" t="s">
        <v>264</v>
      </c>
      <c r="D338" s="173" t="s">
        <v>250</v>
      </c>
      <c r="E338" s="173" t="b">
        <v>1</v>
      </c>
      <c r="F338" s="173" t="s">
        <v>246</v>
      </c>
      <c r="G338" s="173" t="s">
        <v>245</v>
      </c>
      <c r="H338" s="43" t="str">
        <f t="shared" si="8"/>
        <v>General|TRUE|600to700|DrainedAr</v>
      </c>
      <c r="I338" s="119">
        <v>0.19851855218728132</v>
      </c>
      <c r="J338" s="44">
        <v>12.675884596476681</v>
      </c>
      <c r="K338" s="215"/>
      <c r="L338" s="216"/>
      <c r="M338" s="216"/>
      <c r="N338" s="216"/>
      <c r="O338" s="216"/>
      <c r="P338" s="112"/>
    </row>
    <row r="339" spans="2:16" x14ac:dyDescent="0.25">
      <c r="B339" s="122"/>
      <c r="C339" s="173" t="s">
        <v>264</v>
      </c>
      <c r="D339" s="173" t="s">
        <v>250</v>
      </c>
      <c r="E339" s="173" t="b">
        <v>0</v>
      </c>
      <c r="F339" s="173" t="s">
        <v>246</v>
      </c>
      <c r="G339" s="173" t="s">
        <v>248</v>
      </c>
      <c r="H339" s="43" t="str">
        <f t="shared" si="8"/>
        <v>General|FALSE|600to700|DrainedArGr</v>
      </c>
      <c r="I339" s="119">
        <v>0.39207871380781678</v>
      </c>
      <c r="J339" s="44">
        <v>13.157704228668948</v>
      </c>
      <c r="K339" s="215"/>
      <c r="L339" s="216"/>
      <c r="M339" s="216"/>
      <c r="N339" s="216"/>
      <c r="O339" s="216"/>
      <c r="P339" s="112"/>
    </row>
    <row r="340" spans="2:16" x14ac:dyDescent="0.25">
      <c r="B340" s="122"/>
      <c r="C340" s="173" t="s">
        <v>264</v>
      </c>
      <c r="D340" s="173" t="s">
        <v>250</v>
      </c>
      <c r="E340" s="173" t="b">
        <v>1</v>
      </c>
      <c r="F340" s="173" t="s">
        <v>246</v>
      </c>
      <c r="G340" s="173" t="s">
        <v>248</v>
      </c>
      <c r="H340" s="43" t="str">
        <f t="shared" si="8"/>
        <v>General|TRUE|600to700|DrainedArGr</v>
      </c>
      <c r="I340" s="119">
        <v>0.39207871380781678</v>
      </c>
      <c r="J340" s="44">
        <v>13.126704858212211</v>
      </c>
      <c r="K340" s="215"/>
      <c r="L340" s="216"/>
      <c r="M340" s="216"/>
      <c r="N340" s="216"/>
      <c r="O340" s="216"/>
      <c r="P340" s="112"/>
    </row>
    <row r="341" spans="2:16" x14ac:dyDescent="0.25">
      <c r="B341" s="122"/>
      <c r="C341" s="173" t="s">
        <v>264</v>
      </c>
      <c r="D341" s="173" t="s">
        <v>250</v>
      </c>
      <c r="E341" s="173" t="b">
        <v>0</v>
      </c>
      <c r="F341" s="173" t="s">
        <v>249</v>
      </c>
      <c r="G341" s="173" t="s">
        <v>247</v>
      </c>
      <c r="H341" s="43" t="str">
        <f t="shared" si="8"/>
        <v>General|FALSE|700to900|FreeDrain</v>
      </c>
      <c r="I341" s="119">
        <v>0.12212671544993335</v>
      </c>
      <c r="J341" s="44">
        <v>21.487623627937396</v>
      </c>
      <c r="K341" s="215"/>
      <c r="L341" s="216"/>
      <c r="M341" s="216"/>
      <c r="N341" s="216"/>
      <c r="O341" s="216"/>
      <c r="P341" s="112"/>
    </row>
    <row r="342" spans="2:16" x14ac:dyDescent="0.25">
      <c r="B342" s="122"/>
      <c r="C342" s="173" t="s">
        <v>264</v>
      </c>
      <c r="D342" s="173" t="s">
        <v>250</v>
      </c>
      <c r="E342" s="173" t="b">
        <v>1</v>
      </c>
      <c r="F342" s="173" t="s">
        <v>249</v>
      </c>
      <c r="G342" s="173" t="s">
        <v>247</v>
      </c>
      <c r="H342" s="43" t="str">
        <f t="shared" si="8"/>
        <v>General|TRUE|700to900|FreeDrain</v>
      </c>
      <c r="I342" s="119">
        <v>0.12212671544993335</v>
      </c>
      <c r="J342" s="44">
        <v>21.428637939016518</v>
      </c>
      <c r="K342" s="215"/>
      <c r="L342" s="216"/>
      <c r="M342" s="216"/>
      <c r="N342" s="216"/>
      <c r="O342" s="216"/>
      <c r="P342" s="112"/>
    </row>
    <row r="343" spans="2:16" x14ac:dyDescent="0.25">
      <c r="B343" s="122"/>
      <c r="C343" s="173" t="s">
        <v>264</v>
      </c>
      <c r="D343" s="173" t="s">
        <v>250</v>
      </c>
      <c r="E343" s="173" t="b">
        <v>0</v>
      </c>
      <c r="F343" s="173" t="s">
        <v>249</v>
      </c>
      <c r="G343" s="173" t="s">
        <v>245</v>
      </c>
      <c r="H343" s="43" t="str">
        <f t="shared" si="8"/>
        <v>General|FALSE|700to900|DrainedAr</v>
      </c>
      <c r="I343" s="119">
        <v>0.4244708434033922</v>
      </c>
      <c r="J343" s="44">
        <v>16.055452664429819</v>
      </c>
      <c r="K343" s="215"/>
      <c r="L343" s="216"/>
      <c r="M343" s="216"/>
      <c r="N343" s="216"/>
      <c r="O343" s="216"/>
      <c r="P343" s="112"/>
    </row>
    <row r="344" spans="2:16" x14ac:dyDescent="0.25">
      <c r="B344" s="122"/>
      <c r="C344" s="173" t="s">
        <v>264</v>
      </c>
      <c r="D344" s="173" t="s">
        <v>250</v>
      </c>
      <c r="E344" s="173" t="b">
        <v>0</v>
      </c>
      <c r="F344" s="173" t="s">
        <v>249</v>
      </c>
      <c r="G344" s="173" t="s">
        <v>248</v>
      </c>
      <c r="H344" s="43" t="str">
        <f t="shared" si="8"/>
        <v>General|FALSE|700to900|DrainedArGr</v>
      </c>
      <c r="I344" s="119">
        <v>0.69478123197301322</v>
      </c>
      <c r="J344" s="44">
        <v>14.431239721064706</v>
      </c>
      <c r="K344" s="215"/>
      <c r="L344" s="216"/>
      <c r="M344" s="216"/>
      <c r="N344" s="216"/>
      <c r="O344" s="216"/>
      <c r="P344" s="112"/>
    </row>
    <row r="345" spans="2:16" x14ac:dyDescent="0.25">
      <c r="B345" s="122"/>
      <c r="C345" s="173" t="s">
        <v>264</v>
      </c>
      <c r="D345" s="173" t="s">
        <v>250</v>
      </c>
      <c r="E345" s="173" t="b">
        <v>1</v>
      </c>
      <c r="F345" s="173" t="s">
        <v>249</v>
      </c>
      <c r="G345" s="173" t="s">
        <v>248</v>
      </c>
      <c r="H345" s="43" t="str">
        <f t="shared" si="8"/>
        <v>General|TRUE|700to900|DrainedArGr</v>
      </c>
      <c r="I345" s="119">
        <v>0.69478123197301322</v>
      </c>
      <c r="J345" s="44">
        <v>14.400142664981026</v>
      </c>
      <c r="K345" s="215"/>
      <c r="L345" s="216"/>
      <c r="M345" s="216"/>
      <c r="N345" s="216"/>
      <c r="O345" s="216"/>
      <c r="P345" s="112"/>
    </row>
    <row r="346" spans="2:16" x14ac:dyDescent="0.25">
      <c r="B346" s="122"/>
      <c r="C346" s="173" t="s">
        <v>264</v>
      </c>
      <c r="D346" s="173" t="s">
        <v>250</v>
      </c>
      <c r="E346" s="173" t="b">
        <v>0</v>
      </c>
      <c r="F346" s="173" t="s">
        <v>259</v>
      </c>
      <c r="G346" s="173" t="s">
        <v>247</v>
      </c>
      <c r="H346" s="43" t="str">
        <f t="shared" si="8"/>
        <v>General|FALSE|900to1200|FreeDrain</v>
      </c>
      <c r="I346" s="119">
        <v>0.21516280680411312</v>
      </c>
      <c r="J346" s="44">
        <v>22.77296096397092</v>
      </c>
      <c r="K346" s="215"/>
      <c r="L346" s="216"/>
      <c r="M346" s="216"/>
      <c r="N346" s="216"/>
      <c r="O346" s="216"/>
      <c r="P346" s="112"/>
    </row>
    <row r="347" spans="2:16" x14ac:dyDescent="0.25">
      <c r="B347" s="122"/>
      <c r="C347" s="173" t="s">
        <v>264</v>
      </c>
      <c r="D347" s="173" t="s">
        <v>250</v>
      </c>
      <c r="E347" s="173" t="b">
        <v>0</v>
      </c>
      <c r="F347" s="173" t="s">
        <v>259</v>
      </c>
      <c r="G347" s="173" t="s">
        <v>245</v>
      </c>
      <c r="H347" s="43" t="str">
        <f t="shared" si="8"/>
        <v>General|FALSE|900to1200|DrainedAr</v>
      </c>
      <c r="I347" s="119">
        <v>0.80049439748524687</v>
      </c>
      <c r="J347" s="44">
        <v>20.267527273755672</v>
      </c>
      <c r="K347" s="215"/>
      <c r="L347" s="216"/>
      <c r="M347" s="216"/>
      <c r="N347" s="216"/>
      <c r="O347" s="216"/>
      <c r="P347" s="112"/>
    </row>
    <row r="348" spans="2:16" x14ac:dyDescent="0.25">
      <c r="B348" s="122"/>
      <c r="C348" s="173" t="s">
        <v>264</v>
      </c>
      <c r="D348" s="173" t="s">
        <v>250</v>
      </c>
      <c r="E348" s="173" t="b">
        <v>0</v>
      </c>
      <c r="F348" s="173" t="s">
        <v>259</v>
      </c>
      <c r="G348" s="173" t="s">
        <v>248</v>
      </c>
      <c r="H348" s="43" t="str">
        <f t="shared" si="8"/>
        <v>General|FALSE|900to1200|DrainedArGr</v>
      </c>
      <c r="I348" s="119">
        <v>1.1765411416272809</v>
      </c>
      <c r="J348" s="44">
        <v>16.650874446021103</v>
      </c>
      <c r="K348" s="215"/>
      <c r="L348" s="216"/>
      <c r="M348" s="216"/>
      <c r="N348" s="216"/>
      <c r="O348" s="216"/>
      <c r="P348" s="112"/>
    </row>
    <row r="349" spans="2:16" x14ac:dyDescent="0.25">
      <c r="B349" s="122"/>
      <c r="C349" s="173" t="s">
        <v>264</v>
      </c>
      <c r="D349" s="173" t="s">
        <v>250</v>
      </c>
      <c r="E349" s="173" t="b">
        <v>0</v>
      </c>
      <c r="F349" s="173" t="s">
        <v>260</v>
      </c>
      <c r="G349" s="173" t="s">
        <v>247</v>
      </c>
      <c r="H349" s="43" t="str">
        <f t="shared" si="8"/>
        <v>General|FALSE|1200to1500|FreeDrain</v>
      </c>
      <c r="I349" s="119">
        <v>0.31998452482907302</v>
      </c>
      <c r="J349" s="44">
        <v>23.022408991462445</v>
      </c>
      <c r="K349" s="215"/>
      <c r="L349" s="216"/>
      <c r="M349" s="216"/>
      <c r="N349" s="216"/>
      <c r="O349" s="216"/>
      <c r="P349" s="112"/>
    </row>
    <row r="350" spans="2:16" x14ac:dyDescent="0.25">
      <c r="B350" s="122"/>
      <c r="C350" s="173" t="s">
        <v>264</v>
      </c>
      <c r="D350" s="173" t="s">
        <v>250</v>
      </c>
      <c r="E350" s="173" t="b">
        <v>0</v>
      </c>
      <c r="F350" s="173" t="s">
        <v>260</v>
      </c>
      <c r="G350" s="173" t="s">
        <v>248</v>
      </c>
      <c r="H350" s="43" t="str">
        <f t="shared" si="8"/>
        <v>General|FALSE|1200to1500|DrainedArGr</v>
      </c>
      <c r="I350" s="119">
        <v>1.7448397131468858</v>
      </c>
      <c r="J350" s="44">
        <v>19.727594049161137</v>
      </c>
      <c r="K350" s="215"/>
      <c r="L350" s="216"/>
      <c r="M350" s="216"/>
      <c r="N350" s="216"/>
      <c r="O350" s="216"/>
      <c r="P350" s="112"/>
    </row>
    <row r="351" spans="2:16" x14ac:dyDescent="0.25">
      <c r="B351" s="122"/>
      <c r="C351" s="173" t="s">
        <v>264</v>
      </c>
      <c r="D351" s="173" t="s">
        <v>251</v>
      </c>
      <c r="E351" s="173" t="b">
        <v>0</v>
      </c>
      <c r="F351" s="173" t="s">
        <v>246</v>
      </c>
      <c r="G351" s="173" t="s">
        <v>245</v>
      </c>
      <c r="H351" s="43" t="str">
        <f t="shared" si="8"/>
        <v>Horticulture|FALSE|600to700|DrainedAr</v>
      </c>
      <c r="I351" s="119">
        <v>0.22981266841864198</v>
      </c>
      <c r="J351" s="44">
        <v>12.610072565704254</v>
      </c>
      <c r="K351" s="215"/>
      <c r="L351" s="216"/>
      <c r="M351" s="216"/>
      <c r="N351" s="216"/>
      <c r="O351" s="216"/>
      <c r="P351" s="112"/>
    </row>
    <row r="352" spans="2:16" x14ac:dyDescent="0.25">
      <c r="B352" s="122"/>
      <c r="C352" s="173" t="s">
        <v>264</v>
      </c>
      <c r="D352" s="173" t="s">
        <v>251</v>
      </c>
      <c r="E352" s="173" t="b">
        <v>0</v>
      </c>
      <c r="F352" s="173" t="s">
        <v>246</v>
      </c>
      <c r="G352" s="173" t="s">
        <v>248</v>
      </c>
      <c r="H352" s="43" t="str">
        <f t="shared" si="8"/>
        <v>Horticulture|FALSE|600to700|DrainedArGr</v>
      </c>
      <c r="I352" s="119">
        <v>0.42678551933705866</v>
      </c>
      <c r="J352" s="44">
        <v>12.97040939542573</v>
      </c>
      <c r="K352" s="215"/>
      <c r="L352" s="216"/>
      <c r="M352" s="216"/>
      <c r="N352" s="216"/>
      <c r="O352" s="216"/>
      <c r="P352" s="112"/>
    </row>
    <row r="353" spans="2:16" x14ac:dyDescent="0.25">
      <c r="B353" s="122"/>
      <c r="C353" s="173" t="s">
        <v>264</v>
      </c>
      <c r="D353" s="173" t="s">
        <v>251</v>
      </c>
      <c r="E353" s="173" t="b">
        <v>1</v>
      </c>
      <c r="F353" s="173" t="s">
        <v>246</v>
      </c>
      <c r="G353" s="173" t="s">
        <v>248</v>
      </c>
      <c r="H353" s="43" t="str">
        <f t="shared" si="8"/>
        <v>Horticulture|TRUE|600to700|DrainedArGr</v>
      </c>
      <c r="I353" s="119">
        <v>0.42678551933705866</v>
      </c>
      <c r="J353" s="44">
        <v>12.93907557092561</v>
      </c>
      <c r="K353" s="215"/>
      <c r="L353" s="216"/>
      <c r="M353" s="216"/>
      <c r="N353" s="216"/>
      <c r="O353" s="216"/>
      <c r="P353" s="112"/>
    </row>
    <row r="354" spans="2:16" x14ac:dyDescent="0.25">
      <c r="B354" s="122"/>
      <c r="C354" s="173" t="s">
        <v>264</v>
      </c>
      <c r="D354" s="173" t="s">
        <v>251</v>
      </c>
      <c r="E354" s="173" t="b">
        <v>0</v>
      </c>
      <c r="F354" s="173" t="s">
        <v>249</v>
      </c>
      <c r="G354" s="173" t="s">
        <v>248</v>
      </c>
      <c r="H354" s="43" t="str">
        <f t="shared" si="8"/>
        <v>Horticulture|FALSE|700to900|DrainedArGr</v>
      </c>
      <c r="I354" s="119">
        <v>0.75125752574140958</v>
      </c>
      <c r="J354" s="44">
        <v>14.123446221108441</v>
      </c>
      <c r="K354" s="215"/>
      <c r="L354" s="216"/>
      <c r="M354" s="216"/>
      <c r="N354" s="216"/>
      <c r="O354" s="216"/>
      <c r="P354" s="112"/>
    </row>
    <row r="355" spans="2:16" x14ac:dyDescent="0.25">
      <c r="B355" s="122"/>
      <c r="C355" s="173" t="s">
        <v>264</v>
      </c>
      <c r="D355" s="173" t="s">
        <v>251</v>
      </c>
      <c r="E355" s="173" t="b">
        <v>0</v>
      </c>
      <c r="F355" s="173" t="s">
        <v>259</v>
      </c>
      <c r="G355" s="173" t="s">
        <v>248</v>
      </c>
      <c r="H355" s="43" t="str">
        <f t="shared" si="8"/>
        <v>Horticulture|FALSE|900to1200|DrainedArGr</v>
      </c>
      <c r="I355" s="119">
        <v>1.2468201304282733</v>
      </c>
      <c r="J355" s="44">
        <v>16.304544687882686</v>
      </c>
      <c r="K355" s="215"/>
      <c r="L355" s="216"/>
      <c r="M355" s="216"/>
      <c r="N355" s="216"/>
      <c r="O355" s="216"/>
      <c r="P355" s="112"/>
    </row>
    <row r="356" spans="2:16" x14ac:dyDescent="0.25">
      <c r="B356" s="122"/>
      <c r="C356" s="173" t="s">
        <v>264</v>
      </c>
      <c r="D356" s="173" t="s">
        <v>252</v>
      </c>
      <c r="E356" s="173" t="b">
        <v>0</v>
      </c>
      <c r="F356" s="173" t="s">
        <v>246</v>
      </c>
      <c r="G356" s="173" t="s">
        <v>247</v>
      </c>
      <c r="H356" s="43" t="str">
        <f t="shared" si="8"/>
        <v>Pig|FALSE|600to700|FreeDrain</v>
      </c>
      <c r="I356" s="119">
        <v>8.7613512091750806E-2</v>
      </c>
      <c r="J356" s="44">
        <v>111.42058268142364</v>
      </c>
      <c r="K356" s="215"/>
      <c r="L356" s="216"/>
      <c r="M356" s="216"/>
      <c r="N356" s="216"/>
      <c r="O356" s="216"/>
      <c r="P356" s="112"/>
    </row>
    <row r="357" spans="2:16" x14ac:dyDescent="0.25">
      <c r="B357" s="122"/>
      <c r="C357" s="173" t="s">
        <v>264</v>
      </c>
      <c r="D357" s="173" t="s">
        <v>252</v>
      </c>
      <c r="E357" s="173" t="b">
        <v>0</v>
      </c>
      <c r="F357" s="173" t="s">
        <v>246</v>
      </c>
      <c r="G357" s="173" t="s">
        <v>245</v>
      </c>
      <c r="H357" s="43" t="str">
        <f t="shared" si="8"/>
        <v>Pig|FALSE|600to700|DrainedAr</v>
      </c>
      <c r="I357" s="119">
        <v>0.31517913849851437</v>
      </c>
      <c r="J357" s="44">
        <v>73.392330544473936</v>
      </c>
      <c r="K357" s="215"/>
      <c r="L357" s="216"/>
      <c r="M357" s="216"/>
      <c r="N357" s="216"/>
      <c r="O357" s="216"/>
      <c r="P357" s="112"/>
    </row>
    <row r="358" spans="2:16" x14ac:dyDescent="0.25">
      <c r="B358" s="122"/>
      <c r="C358" s="173" t="s">
        <v>264</v>
      </c>
      <c r="D358" s="173" t="s">
        <v>252</v>
      </c>
      <c r="E358" s="173" t="b">
        <v>0</v>
      </c>
      <c r="F358" s="173" t="s">
        <v>246</v>
      </c>
      <c r="G358" s="173" t="s">
        <v>248</v>
      </c>
      <c r="H358" s="43" t="str">
        <f t="shared" si="8"/>
        <v>Pig|FALSE|600to700|DrainedArGr</v>
      </c>
      <c r="I358" s="119">
        <v>0.6902892099090987</v>
      </c>
      <c r="J358" s="44">
        <v>69.050512259909951</v>
      </c>
      <c r="K358" s="215"/>
      <c r="L358" s="216"/>
      <c r="M358" s="216"/>
      <c r="N358" s="216"/>
      <c r="O358" s="216"/>
      <c r="P358" s="112"/>
    </row>
    <row r="359" spans="2:16" x14ac:dyDescent="0.25">
      <c r="B359" s="122"/>
      <c r="C359" s="173" t="s">
        <v>264</v>
      </c>
      <c r="D359" s="173" t="s">
        <v>252</v>
      </c>
      <c r="E359" s="173" t="b">
        <v>1</v>
      </c>
      <c r="F359" s="173" t="s">
        <v>246</v>
      </c>
      <c r="G359" s="173" t="s">
        <v>248</v>
      </c>
      <c r="H359" s="43" t="str">
        <f t="shared" si="8"/>
        <v>Pig|TRUE|600to700|DrainedArGr</v>
      </c>
      <c r="I359" s="119">
        <v>0.6608900959235281</v>
      </c>
      <c r="J359" s="44">
        <v>64.77776718824768</v>
      </c>
      <c r="K359" s="215"/>
      <c r="L359" s="216"/>
      <c r="M359" s="216"/>
      <c r="N359" s="216"/>
      <c r="O359" s="216"/>
      <c r="P359" s="112"/>
    </row>
    <row r="360" spans="2:16" x14ac:dyDescent="0.25">
      <c r="B360" s="122"/>
      <c r="C360" s="173" t="s">
        <v>264</v>
      </c>
      <c r="D360" s="173" t="s">
        <v>252</v>
      </c>
      <c r="E360" s="173" t="b">
        <v>0</v>
      </c>
      <c r="F360" s="173" t="s">
        <v>249</v>
      </c>
      <c r="G360" s="173" t="s">
        <v>247</v>
      </c>
      <c r="H360" s="43" t="str">
        <f t="shared" si="8"/>
        <v>Pig|FALSE|700to900|FreeDrain</v>
      </c>
      <c r="I360" s="119">
        <v>0.20641262851228998</v>
      </c>
      <c r="J360" s="44">
        <v>131.82835718267924</v>
      </c>
      <c r="K360" s="215"/>
      <c r="L360" s="216"/>
      <c r="M360" s="216"/>
      <c r="N360" s="216"/>
      <c r="O360" s="216"/>
      <c r="P360" s="112"/>
    </row>
    <row r="361" spans="2:16" x14ac:dyDescent="0.25">
      <c r="B361" s="122"/>
      <c r="C361" s="173" t="s">
        <v>264</v>
      </c>
      <c r="D361" s="173" t="s">
        <v>252</v>
      </c>
      <c r="E361" s="173" t="b">
        <v>1</v>
      </c>
      <c r="F361" s="173" t="s">
        <v>249</v>
      </c>
      <c r="G361" s="173" t="s">
        <v>247</v>
      </c>
      <c r="H361" s="43" t="str">
        <f t="shared" si="8"/>
        <v>Pig|TRUE|700to900|FreeDrain</v>
      </c>
      <c r="I361" s="119">
        <v>0.20150271450812143</v>
      </c>
      <c r="J361" s="44">
        <v>132.65408878680657</v>
      </c>
      <c r="K361" s="215"/>
      <c r="L361" s="216"/>
      <c r="M361" s="216"/>
      <c r="N361" s="216"/>
      <c r="O361" s="216"/>
      <c r="P361" s="112"/>
    </row>
    <row r="362" spans="2:16" x14ac:dyDescent="0.25">
      <c r="B362" s="122"/>
      <c r="C362" s="173" t="s">
        <v>264</v>
      </c>
      <c r="D362" s="173" t="s">
        <v>252</v>
      </c>
      <c r="E362" s="173" t="b">
        <v>0</v>
      </c>
      <c r="F362" s="173" t="s">
        <v>249</v>
      </c>
      <c r="G362" s="173" t="s">
        <v>245</v>
      </c>
      <c r="H362" s="43" t="str">
        <f t="shared" si="8"/>
        <v>Pig|FALSE|700to900|DrainedAr</v>
      </c>
      <c r="I362" s="119">
        <v>0.63465344718668126</v>
      </c>
      <c r="J362" s="44">
        <v>91.866173019487789</v>
      </c>
      <c r="K362" s="215"/>
      <c r="L362" s="216"/>
      <c r="M362" s="216"/>
      <c r="N362" s="216"/>
      <c r="O362" s="216"/>
      <c r="P362" s="112"/>
    </row>
    <row r="363" spans="2:16" x14ac:dyDescent="0.25">
      <c r="B363" s="122"/>
      <c r="C363" s="173" t="s">
        <v>264</v>
      </c>
      <c r="D363" s="173" t="s">
        <v>252</v>
      </c>
      <c r="E363" s="173" t="b">
        <v>0</v>
      </c>
      <c r="F363" s="173" t="s">
        <v>249</v>
      </c>
      <c r="G363" s="173" t="s">
        <v>248</v>
      </c>
      <c r="H363" s="43" t="str">
        <f t="shared" si="8"/>
        <v>Pig|FALSE|700to900|DrainedArGr</v>
      </c>
      <c r="I363" s="119">
        <v>1.1075675218340366</v>
      </c>
      <c r="J363" s="44">
        <v>76.025587407871711</v>
      </c>
      <c r="K363" s="215"/>
      <c r="L363" s="216"/>
      <c r="M363" s="216"/>
      <c r="N363" s="216"/>
      <c r="O363" s="216"/>
      <c r="P363" s="112"/>
    </row>
    <row r="364" spans="2:16" x14ac:dyDescent="0.25">
      <c r="B364" s="122"/>
      <c r="C364" s="173" t="s">
        <v>264</v>
      </c>
      <c r="D364" s="173" t="s">
        <v>252</v>
      </c>
      <c r="E364" s="173" t="b">
        <v>0</v>
      </c>
      <c r="F364" s="173" t="s">
        <v>259</v>
      </c>
      <c r="G364" s="173" t="s">
        <v>248</v>
      </c>
      <c r="H364" s="43" t="str">
        <f t="shared" si="8"/>
        <v>Pig|FALSE|900to1200|DrainedArGr</v>
      </c>
      <c r="I364" s="119">
        <v>1.7335521064932706</v>
      </c>
      <c r="J364" s="44">
        <v>83.380623203463415</v>
      </c>
      <c r="K364" s="215"/>
      <c r="L364" s="216"/>
      <c r="M364" s="216"/>
      <c r="N364" s="216"/>
      <c r="O364" s="216"/>
      <c r="P364" s="112"/>
    </row>
    <row r="365" spans="2:16" x14ac:dyDescent="0.25">
      <c r="B365" s="122"/>
      <c r="C365" s="173" t="s">
        <v>264</v>
      </c>
      <c r="D365" s="173" t="s">
        <v>253</v>
      </c>
      <c r="E365" s="173" t="b">
        <v>0</v>
      </c>
      <c r="F365" s="173" t="s">
        <v>246</v>
      </c>
      <c r="G365" s="173" t="s">
        <v>247</v>
      </c>
      <c r="H365" s="43" t="str">
        <f t="shared" si="8"/>
        <v>Poultry|FALSE|600to700|FreeDrain</v>
      </c>
      <c r="I365" s="119">
        <v>9.8665806181057983E-2</v>
      </c>
      <c r="J365" s="44">
        <v>104.18798350400129</v>
      </c>
      <c r="K365" s="215"/>
      <c r="L365" s="216"/>
      <c r="M365" s="216"/>
      <c r="N365" s="216"/>
      <c r="O365" s="216"/>
      <c r="P365" s="112"/>
    </row>
    <row r="366" spans="2:16" x14ac:dyDescent="0.25">
      <c r="B366" s="122"/>
      <c r="C366" s="173" t="s">
        <v>264</v>
      </c>
      <c r="D366" s="173" t="s">
        <v>253</v>
      </c>
      <c r="E366" s="173" t="b">
        <v>1</v>
      </c>
      <c r="F366" s="173" t="s">
        <v>246</v>
      </c>
      <c r="G366" s="173" t="s">
        <v>247</v>
      </c>
      <c r="H366" s="43" t="str">
        <f t="shared" si="8"/>
        <v>Poultry|TRUE|600to700|FreeDrain</v>
      </c>
      <c r="I366" s="119">
        <v>9.6452948343149394E-2</v>
      </c>
      <c r="J366" s="44">
        <v>104.6243134041294</v>
      </c>
      <c r="K366" s="215"/>
      <c r="L366" s="216"/>
      <c r="M366" s="216"/>
      <c r="N366" s="216"/>
      <c r="O366" s="216"/>
      <c r="P366" s="112"/>
    </row>
    <row r="367" spans="2:16" x14ac:dyDescent="0.25">
      <c r="B367" s="122"/>
      <c r="C367" s="173" t="s">
        <v>264</v>
      </c>
      <c r="D367" s="173" t="s">
        <v>253</v>
      </c>
      <c r="E367" s="173" t="b">
        <v>1</v>
      </c>
      <c r="F367" s="173" t="s">
        <v>246</v>
      </c>
      <c r="G367" s="173" t="s">
        <v>245</v>
      </c>
      <c r="H367" s="43" t="str">
        <f t="shared" si="8"/>
        <v>Poultry|TRUE|600to700|DrainedAr</v>
      </c>
      <c r="I367" s="119">
        <v>0.24933235125200343</v>
      </c>
      <c r="J367" s="44">
        <v>65.579197151559171</v>
      </c>
      <c r="K367" s="215"/>
      <c r="L367" s="216"/>
      <c r="M367" s="216"/>
      <c r="N367" s="216"/>
      <c r="O367" s="216"/>
      <c r="P367" s="112"/>
    </row>
    <row r="368" spans="2:16" x14ac:dyDescent="0.25">
      <c r="B368" s="122"/>
      <c r="C368" s="173" t="s">
        <v>264</v>
      </c>
      <c r="D368" s="173" t="s">
        <v>253</v>
      </c>
      <c r="E368" s="173" t="b">
        <v>0</v>
      </c>
      <c r="F368" s="173" t="s">
        <v>246</v>
      </c>
      <c r="G368" s="173" t="s">
        <v>248</v>
      </c>
      <c r="H368" s="43" t="str">
        <f t="shared" si="8"/>
        <v>Poultry|FALSE|600to700|DrainedArGr</v>
      </c>
      <c r="I368" s="119">
        <v>0.54351523558207626</v>
      </c>
      <c r="J368" s="44">
        <v>63.366873265991551</v>
      </c>
      <c r="K368" s="215"/>
      <c r="L368" s="216"/>
      <c r="M368" s="216"/>
      <c r="N368" s="216"/>
      <c r="O368" s="216"/>
      <c r="P368" s="112"/>
    </row>
    <row r="369" spans="2:16" x14ac:dyDescent="0.25">
      <c r="B369" s="122"/>
      <c r="C369" s="173" t="s">
        <v>264</v>
      </c>
      <c r="D369" s="173" t="s">
        <v>253</v>
      </c>
      <c r="E369" s="173" t="b">
        <v>1</v>
      </c>
      <c r="F369" s="173" t="s">
        <v>246</v>
      </c>
      <c r="G369" s="173" t="s">
        <v>248</v>
      </c>
      <c r="H369" s="43" t="str">
        <f t="shared" si="8"/>
        <v>Poultry|TRUE|600to700|DrainedArGr</v>
      </c>
      <c r="I369" s="119">
        <v>0.52515533963292027</v>
      </c>
      <c r="J369" s="44">
        <v>59.756352319536752</v>
      </c>
      <c r="K369" s="215"/>
      <c r="L369" s="216"/>
      <c r="M369" s="216"/>
      <c r="N369" s="216"/>
      <c r="O369" s="216"/>
      <c r="P369" s="112"/>
    </row>
    <row r="370" spans="2:16" x14ac:dyDescent="0.25">
      <c r="B370" s="122"/>
      <c r="C370" s="173" t="s">
        <v>264</v>
      </c>
      <c r="D370" s="173" t="s">
        <v>253</v>
      </c>
      <c r="E370" s="173" t="b">
        <v>0</v>
      </c>
      <c r="F370" s="173" t="s">
        <v>249</v>
      </c>
      <c r="G370" s="173" t="s">
        <v>245</v>
      </c>
      <c r="H370" s="43" t="str">
        <f t="shared" si="8"/>
        <v>Poultry|FALSE|700to900|DrainedAr</v>
      </c>
      <c r="I370" s="119">
        <v>0.53167373697532183</v>
      </c>
      <c r="J370" s="44">
        <v>85.178008023036384</v>
      </c>
      <c r="K370" s="215"/>
      <c r="L370" s="216"/>
      <c r="M370" s="216"/>
      <c r="N370" s="216"/>
      <c r="O370" s="216"/>
      <c r="P370" s="112"/>
    </row>
    <row r="371" spans="2:16" x14ac:dyDescent="0.25">
      <c r="B371" s="122"/>
      <c r="C371" s="173" t="s">
        <v>264</v>
      </c>
      <c r="D371" s="173" t="s">
        <v>253</v>
      </c>
      <c r="E371" s="173" t="b">
        <v>0</v>
      </c>
      <c r="F371" s="173" t="s">
        <v>249</v>
      </c>
      <c r="G371" s="173" t="s">
        <v>248</v>
      </c>
      <c r="H371" s="43" t="str">
        <f t="shared" si="8"/>
        <v>Poultry|FALSE|700to900|DrainedArGr</v>
      </c>
      <c r="I371" s="119">
        <v>0.91909630638547279</v>
      </c>
      <c r="J371" s="44">
        <v>69.302620575030218</v>
      </c>
      <c r="K371" s="215"/>
      <c r="L371" s="216"/>
      <c r="M371" s="216"/>
      <c r="N371" s="216"/>
      <c r="O371" s="216"/>
      <c r="P371" s="112"/>
    </row>
    <row r="372" spans="2:16" x14ac:dyDescent="0.25">
      <c r="B372" s="122"/>
      <c r="C372" s="173" t="s">
        <v>264</v>
      </c>
      <c r="D372" s="173" t="s">
        <v>253</v>
      </c>
      <c r="E372" s="173" t="b">
        <v>1</v>
      </c>
      <c r="F372" s="173" t="s">
        <v>249</v>
      </c>
      <c r="G372" s="173" t="s">
        <v>248</v>
      </c>
      <c r="H372" s="43" t="str">
        <f t="shared" si="8"/>
        <v>Poultry|TRUE|700to900|DrainedArGr</v>
      </c>
      <c r="I372" s="119">
        <v>0.89255535404309638</v>
      </c>
      <c r="J372" s="44">
        <v>64.64201491741953</v>
      </c>
      <c r="K372" s="215"/>
      <c r="L372" s="216"/>
      <c r="M372" s="216"/>
      <c r="N372" s="216"/>
      <c r="O372" s="216"/>
      <c r="P372" s="112"/>
    </row>
    <row r="373" spans="2:16" x14ac:dyDescent="0.25">
      <c r="B373" s="122"/>
      <c r="C373" s="173" t="s">
        <v>264</v>
      </c>
      <c r="D373" s="173" t="s">
        <v>253</v>
      </c>
      <c r="E373" s="173" t="b">
        <v>0</v>
      </c>
      <c r="F373" s="173" t="s">
        <v>259</v>
      </c>
      <c r="G373" s="173" t="s">
        <v>247</v>
      </c>
      <c r="H373" s="43" t="str">
        <f t="shared" si="8"/>
        <v>Poultry|FALSE|900to1200|FreeDrain</v>
      </c>
      <c r="I373" s="119">
        <v>0.33859351193945991</v>
      </c>
      <c r="J373" s="44">
        <v>129.22531186813382</v>
      </c>
      <c r="K373" s="215"/>
      <c r="L373" s="216"/>
      <c r="M373" s="216"/>
      <c r="N373" s="216"/>
      <c r="O373" s="216"/>
      <c r="P373" s="112"/>
    </row>
    <row r="374" spans="2:16" x14ac:dyDescent="0.25">
      <c r="B374" s="122"/>
      <c r="C374" s="173" t="s">
        <v>264</v>
      </c>
      <c r="D374" s="173" t="s">
        <v>253</v>
      </c>
      <c r="E374" s="173" t="b">
        <v>0</v>
      </c>
      <c r="F374" s="173" t="s">
        <v>259</v>
      </c>
      <c r="G374" s="173" t="s">
        <v>248</v>
      </c>
      <c r="H374" s="43" t="str">
        <f t="shared" si="8"/>
        <v>Poultry|FALSE|900to1200|DrainedArGr</v>
      </c>
      <c r="I374" s="119">
        <v>1.4986013266450964</v>
      </c>
      <c r="J374" s="44">
        <v>75.582151193927047</v>
      </c>
      <c r="K374" s="215"/>
      <c r="L374" s="216"/>
      <c r="M374" s="216"/>
      <c r="N374" s="216"/>
      <c r="O374" s="216"/>
      <c r="P374" s="112"/>
    </row>
    <row r="375" spans="2:16" x14ac:dyDescent="0.25">
      <c r="B375" s="122"/>
      <c r="C375" s="173" t="s">
        <v>264</v>
      </c>
      <c r="D375" s="173" t="s">
        <v>253</v>
      </c>
      <c r="E375" s="173" t="b">
        <v>0</v>
      </c>
      <c r="F375" s="173" t="s">
        <v>260</v>
      </c>
      <c r="G375" s="173" t="s">
        <v>247</v>
      </c>
      <c r="H375" s="43" t="str">
        <f t="shared" si="8"/>
        <v>Poultry|FALSE|1200to1500|FreeDrain</v>
      </c>
      <c r="I375" s="119">
        <v>0.44761548097983817</v>
      </c>
      <c r="J375" s="44">
        <v>131.22143824941787</v>
      </c>
      <c r="K375" s="215"/>
      <c r="L375" s="216"/>
      <c r="M375" s="216"/>
      <c r="N375" s="216"/>
      <c r="O375" s="216"/>
      <c r="P375" s="112"/>
    </row>
    <row r="376" spans="2:16" x14ac:dyDescent="0.25">
      <c r="B376" s="122"/>
      <c r="C376" s="173" t="s">
        <v>264</v>
      </c>
      <c r="D376" s="173" t="s">
        <v>254</v>
      </c>
      <c r="E376" s="173" t="b">
        <v>0</v>
      </c>
      <c r="F376" s="173" t="s">
        <v>246</v>
      </c>
      <c r="G376" s="173" t="s">
        <v>247</v>
      </c>
      <c r="H376" s="43" t="str">
        <f t="shared" si="8"/>
        <v>Dairy|FALSE|600to700|FreeDrain</v>
      </c>
      <c r="I376" s="119">
        <v>0.12512173593254614</v>
      </c>
      <c r="J376" s="44">
        <v>29.643008895880889</v>
      </c>
      <c r="K376" s="215"/>
      <c r="L376" s="216"/>
      <c r="M376" s="216"/>
      <c r="N376" s="216"/>
      <c r="O376" s="216"/>
      <c r="P376" s="112"/>
    </row>
    <row r="377" spans="2:16" x14ac:dyDescent="0.25">
      <c r="B377" s="122"/>
      <c r="C377" s="173" t="s">
        <v>264</v>
      </c>
      <c r="D377" s="173" t="s">
        <v>254</v>
      </c>
      <c r="E377" s="173" t="b">
        <v>1</v>
      </c>
      <c r="F377" s="173" t="s">
        <v>246</v>
      </c>
      <c r="G377" s="173" t="s">
        <v>247</v>
      </c>
      <c r="H377" s="43" t="str">
        <f t="shared" si="8"/>
        <v>Dairy|TRUE|600to700|FreeDrain</v>
      </c>
      <c r="I377" s="119">
        <v>0.12389791228346947</v>
      </c>
      <c r="J377" s="44">
        <v>29.333602434254313</v>
      </c>
      <c r="K377" s="215"/>
      <c r="L377" s="216"/>
      <c r="M377" s="216"/>
      <c r="N377" s="216"/>
      <c r="O377" s="216"/>
      <c r="P377" s="112"/>
    </row>
    <row r="378" spans="2:16" x14ac:dyDescent="0.25">
      <c r="B378" s="122"/>
      <c r="C378" s="173" t="s">
        <v>264</v>
      </c>
      <c r="D378" s="173" t="s">
        <v>254</v>
      </c>
      <c r="E378" s="173" t="b">
        <v>0</v>
      </c>
      <c r="F378" s="173" t="s">
        <v>246</v>
      </c>
      <c r="G378" s="173" t="s">
        <v>245</v>
      </c>
      <c r="H378" s="43" t="str">
        <f t="shared" si="8"/>
        <v>Dairy|FALSE|600to700|DrainedAr</v>
      </c>
      <c r="I378" s="119">
        <v>0.1800063963309684</v>
      </c>
      <c r="J378" s="44">
        <v>19.817846130046824</v>
      </c>
      <c r="K378" s="215"/>
      <c r="L378" s="216"/>
      <c r="M378" s="216"/>
      <c r="N378" s="216"/>
      <c r="O378" s="216"/>
      <c r="P378" s="112"/>
    </row>
    <row r="379" spans="2:16" x14ac:dyDescent="0.25">
      <c r="B379" s="122"/>
      <c r="C379" s="173" t="s">
        <v>264</v>
      </c>
      <c r="D379" s="173" t="s">
        <v>254</v>
      </c>
      <c r="E379" s="173" t="b">
        <v>1</v>
      </c>
      <c r="F379" s="173" t="s">
        <v>246</v>
      </c>
      <c r="G379" s="173" t="s">
        <v>245</v>
      </c>
      <c r="H379" s="43" t="str">
        <f t="shared" si="8"/>
        <v>Dairy|TRUE|600to700|DrainedAr</v>
      </c>
      <c r="I379" s="119">
        <v>0.17816059639789575</v>
      </c>
      <c r="J379" s="44">
        <v>19.596355672756857</v>
      </c>
      <c r="K379" s="215"/>
      <c r="L379" s="216"/>
      <c r="M379" s="216"/>
      <c r="N379" s="216"/>
      <c r="O379" s="216"/>
      <c r="P379" s="112"/>
    </row>
    <row r="380" spans="2:16" x14ac:dyDescent="0.25">
      <c r="B380" s="122"/>
      <c r="C380" s="173" t="s">
        <v>264</v>
      </c>
      <c r="D380" s="173" t="s">
        <v>254</v>
      </c>
      <c r="E380" s="173" t="b">
        <v>0</v>
      </c>
      <c r="F380" s="173" t="s">
        <v>246</v>
      </c>
      <c r="G380" s="173" t="s">
        <v>248</v>
      </c>
      <c r="H380" s="43" t="str">
        <f t="shared" si="8"/>
        <v>Dairy|FALSE|600to700|DrainedArGr</v>
      </c>
      <c r="I380" s="119">
        <v>0.79377567652681469</v>
      </c>
      <c r="J380" s="44">
        <v>15.163844207150804</v>
      </c>
      <c r="K380" s="215"/>
      <c r="L380" s="216"/>
      <c r="M380" s="216"/>
      <c r="N380" s="216"/>
      <c r="O380" s="216"/>
      <c r="P380" s="112"/>
    </row>
    <row r="381" spans="2:16" x14ac:dyDescent="0.25">
      <c r="B381" s="122"/>
      <c r="C381" s="173" t="s">
        <v>264</v>
      </c>
      <c r="D381" s="173" t="s">
        <v>254</v>
      </c>
      <c r="E381" s="173" t="b">
        <v>1</v>
      </c>
      <c r="F381" s="173" t="s">
        <v>246</v>
      </c>
      <c r="G381" s="173" t="s">
        <v>248</v>
      </c>
      <c r="H381" s="43" t="str">
        <f t="shared" si="8"/>
        <v>Dairy|TRUE|600to700|DrainedArGr</v>
      </c>
      <c r="I381" s="119">
        <v>0.76867887570287152</v>
      </c>
      <c r="J381" s="44">
        <v>14.844519900972593</v>
      </c>
      <c r="K381" s="215"/>
      <c r="L381" s="216"/>
      <c r="M381" s="216"/>
      <c r="N381" s="216"/>
      <c r="O381" s="216"/>
      <c r="P381" s="112"/>
    </row>
    <row r="382" spans="2:16" x14ac:dyDescent="0.25">
      <c r="B382" s="122"/>
      <c r="C382" s="173" t="s">
        <v>264</v>
      </c>
      <c r="D382" s="173" t="s">
        <v>254</v>
      </c>
      <c r="E382" s="173" t="b">
        <v>0</v>
      </c>
      <c r="F382" s="173" t="s">
        <v>249</v>
      </c>
      <c r="G382" s="173" t="s">
        <v>247</v>
      </c>
      <c r="H382" s="43" t="str">
        <f t="shared" si="8"/>
        <v>Dairy|FALSE|700to900|FreeDrain</v>
      </c>
      <c r="I382" s="119">
        <v>0.19237185144548338</v>
      </c>
      <c r="J382" s="44">
        <v>41.393580211523449</v>
      </c>
      <c r="K382" s="215"/>
      <c r="L382" s="216"/>
      <c r="M382" s="216"/>
      <c r="N382" s="216"/>
      <c r="O382" s="216"/>
      <c r="P382" s="112"/>
    </row>
    <row r="383" spans="2:16" x14ac:dyDescent="0.25">
      <c r="B383" s="122"/>
      <c r="C383" s="173" t="s">
        <v>264</v>
      </c>
      <c r="D383" s="173" t="s">
        <v>254</v>
      </c>
      <c r="E383" s="173" t="b">
        <v>1</v>
      </c>
      <c r="F383" s="173" t="s">
        <v>249</v>
      </c>
      <c r="G383" s="173" t="s">
        <v>247</v>
      </c>
      <c r="H383" s="43" t="str">
        <f t="shared" si="8"/>
        <v>Dairy|TRUE|700to900|FreeDrain</v>
      </c>
      <c r="I383" s="119">
        <v>0.19042323453573159</v>
      </c>
      <c r="J383" s="44">
        <v>40.976425214805538</v>
      </c>
      <c r="K383" s="215"/>
      <c r="L383" s="216"/>
      <c r="M383" s="216"/>
      <c r="N383" s="216"/>
      <c r="O383" s="216"/>
      <c r="P383" s="112"/>
    </row>
    <row r="384" spans="2:16" x14ac:dyDescent="0.25">
      <c r="B384" s="122"/>
      <c r="C384" s="173" t="s">
        <v>264</v>
      </c>
      <c r="D384" s="173" t="s">
        <v>254</v>
      </c>
      <c r="E384" s="173" t="b">
        <v>0</v>
      </c>
      <c r="F384" s="173" t="s">
        <v>249</v>
      </c>
      <c r="G384" s="173" t="s">
        <v>245</v>
      </c>
      <c r="H384" s="43" t="str">
        <f t="shared" si="8"/>
        <v>Dairy|FALSE|700to900|DrainedAr</v>
      </c>
      <c r="I384" s="119">
        <v>0.28961556867588056</v>
      </c>
      <c r="J384" s="44">
        <v>32.177687257168451</v>
      </c>
      <c r="K384" s="215"/>
      <c r="L384" s="216"/>
      <c r="M384" s="216"/>
      <c r="N384" s="216"/>
      <c r="O384" s="216"/>
      <c r="P384" s="112"/>
    </row>
    <row r="385" spans="2:16" x14ac:dyDescent="0.25">
      <c r="B385" s="122"/>
      <c r="C385" s="173" t="s">
        <v>264</v>
      </c>
      <c r="D385" s="173" t="s">
        <v>254</v>
      </c>
      <c r="E385" s="173" t="b">
        <v>0</v>
      </c>
      <c r="F385" s="173" t="s">
        <v>249</v>
      </c>
      <c r="G385" s="173" t="s">
        <v>248</v>
      </c>
      <c r="H385" s="43" t="str">
        <f t="shared" ref="H385:H433" si="9">D385&amp;"|"&amp;E385&amp;"|"&amp;F385&amp;"|"&amp;G385</f>
        <v>Dairy|FALSE|700to900|DrainedArGr</v>
      </c>
      <c r="I385" s="119">
        <v>1.1549395429732336</v>
      </c>
      <c r="J385" s="44">
        <v>18.78789880844165</v>
      </c>
      <c r="K385" s="215"/>
      <c r="L385" s="216"/>
      <c r="M385" s="216"/>
      <c r="N385" s="216"/>
      <c r="O385" s="216"/>
      <c r="P385" s="112"/>
    </row>
    <row r="386" spans="2:16" x14ac:dyDescent="0.25">
      <c r="B386" s="122"/>
      <c r="C386" s="173" t="s">
        <v>264</v>
      </c>
      <c r="D386" s="173" t="s">
        <v>254</v>
      </c>
      <c r="E386" s="173" t="b">
        <v>0</v>
      </c>
      <c r="F386" s="173" t="s">
        <v>259</v>
      </c>
      <c r="G386" s="173" t="s">
        <v>248</v>
      </c>
      <c r="H386" s="43" t="str">
        <f t="shared" si="9"/>
        <v>Dairy|FALSE|900to1200|DrainedArGr</v>
      </c>
      <c r="I386" s="119">
        <v>1.8056937547066831</v>
      </c>
      <c r="J386" s="44">
        <v>24.949740480855748</v>
      </c>
      <c r="K386" s="215"/>
      <c r="L386" s="216"/>
      <c r="M386" s="216"/>
      <c r="N386" s="216"/>
      <c r="O386" s="216"/>
      <c r="P386" s="112"/>
    </row>
    <row r="387" spans="2:16" x14ac:dyDescent="0.25">
      <c r="B387" s="122"/>
      <c r="C387" s="173" t="s">
        <v>264</v>
      </c>
      <c r="D387" s="173" t="s">
        <v>255</v>
      </c>
      <c r="E387" s="173" t="b">
        <v>0</v>
      </c>
      <c r="F387" s="173" t="s">
        <v>246</v>
      </c>
      <c r="G387" s="173" t="s">
        <v>247</v>
      </c>
      <c r="H387" s="43" t="str">
        <f t="shared" si="9"/>
        <v>LFA|FALSE|600to700|FreeDrain</v>
      </c>
      <c r="I387" s="119">
        <v>5.0407837384852543E-2</v>
      </c>
      <c r="J387" s="44">
        <v>7.5482819447011824</v>
      </c>
      <c r="K387" s="215"/>
      <c r="L387" s="216"/>
      <c r="M387" s="216"/>
      <c r="N387" s="216"/>
      <c r="O387" s="216"/>
      <c r="P387" s="112"/>
    </row>
    <row r="388" spans="2:16" x14ac:dyDescent="0.25">
      <c r="B388" s="122"/>
      <c r="C388" s="173" t="s">
        <v>264</v>
      </c>
      <c r="D388" s="173" t="s">
        <v>255</v>
      </c>
      <c r="E388" s="173" t="b">
        <v>1</v>
      </c>
      <c r="F388" s="173" t="s">
        <v>246</v>
      </c>
      <c r="G388" s="173" t="s">
        <v>247</v>
      </c>
      <c r="H388" s="43" t="str">
        <f t="shared" si="9"/>
        <v>LFA|TRUE|600to700|FreeDrain</v>
      </c>
      <c r="I388" s="119">
        <v>5.0407739776548957E-2</v>
      </c>
      <c r="J388" s="44">
        <v>7.5146821737050988</v>
      </c>
      <c r="K388" s="215"/>
      <c r="L388" s="216"/>
      <c r="M388" s="216"/>
      <c r="N388" s="216"/>
      <c r="O388" s="216"/>
      <c r="P388" s="112"/>
    </row>
    <row r="389" spans="2:16" x14ac:dyDescent="0.25">
      <c r="B389" s="122"/>
      <c r="C389" s="173" t="s">
        <v>264</v>
      </c>
      <c r="D389" s="173" t="s">
        <v>255</v>
      </c>
      <c r="E389" s="173" t="b">
        <v>0</v>
      </c>
      <c r="F389" s="173" t="s">
        <v>246</v>
      </c>
      <c r="G389" s="173" t="s">
        <v>245</v>
      </c>
      <c r="H389" s="43" t="str">
        <f t="shared" si="9"/>
        <v>LFA|FALSE|600to700|DrainedAr</v>
      </c>
      <c r="I389" s="119">
        <v>5.7183144102348551E-2</v>
      </c>
      <c r="J389" s="44">
        <v>5.3811380860352012</v>
      </c>
      <c r="K389" s="215"/>
      <c r="L389" s="216"/>
      <c r="M389" s="216"/>
      <c r="N389" s="216"/>
      <c r="O389" s="216"/>
      <c r="P389" s="112"/>
    </row>
    <row r="390" spans="2:16" x14ac:dyDescent="0.25">
      <c r="B390" s="122"/>
      <c r="C390" s="173" t="s">
        <v>264</v>
      </c>
      <c r="D390" s="173" t="s">
        <v>255</v>
      </c>
      <c r="E390" s="173" t="b">
        <v>0</v>
      </c>
      <c r="F390" s="173" t="s">
        <v>246</v>
      </c>
      <c r="G390" s="173" t="s">
        <v>248</v>
      </c>
      <c r="H390" s="43" t="str">
        <f t="shared" si="9"/>
        <v>LFA|FALSE|600to700|DrainedArGr</v>
      </c>
      <c r="I390" s="119">
        <v>0.28726966147506527</v>
      </c>
      <c r="J390" s="44">
        <v>5.4471920544572576</v>
      </c>
      <c r="K390" s="215"/>
      <c r="L390" s="216"/>
      <c r="M390" s="216"/>
      <c r="N390" s="216"/>
      <c r="O390" s="216"/>
      <c r="P390" s="112"/>
    </row>
    <row r="391" spans="2:16" x14ac:dyDescent="0.25">
      <c r="B391" s="122"/>
      <c r="C391" s="173" t="s">
        <v>264</v>
      </c>
      <c r="D391" s="173" t="s">
        <v>255</v>
      </c>
      <c r="E391" s="173" t="b">
        <v>1</v>
      </c>
      <c r="F391" s="173" t="s">
        <v>246</v>
      </c>
      <c r="G391" s="173" t="s">
        <v>248</v>
      </c>
      <c r="H391" s="43" t="str">
        <f t="shared" si="9"/>
        <v>LFA|TRUE|600to700|DrainedArGr</v>
      </c>
      <c r="I391" s="119">
        <v>0.28725520420381229</v>
      </c>
      <c r="J391" s="44">
        <v>5.4401627044601097</v>
      </c>
      <c r="K391" s="215"/>
      <c r="L391" s="216"/>
      <c r="M391" s="216"/>
      <c r="N391" s="216"/>
      <c r="O391" s="216"/>
      <c r="P391" s="112"/>
    </row>
    <row r="392" spans="2:16" x14ac:dyDescent="0.25">
      <c r="B392" s="122"/>
      <c r="C392" s="173" t="s">
        <v>264</v>
      </c>
      <c r="D392" s="173" t="s">
        <v>255</v>
      </c>
      <c r="E392" s="173" t="b">
        <v>0</v>
      </c>
      <c r="F392" s="173" t="s">
        <v>249</v>
      </c>
      <c r="G392" s="173" t="s">
        <v>247</v>
      </c>
      <c r="H392" s="43" t="str">
        <f t="shared" si="9"/>
        <v>LFA|FALSE|700to900|FreeDrain</v>
      </c>
      <c r="I392" s="119">
        <v>9.1639126521461278E-2</v>
      </c>
      <c r="J392" s="44">
        <v>10.657704542229428</v>
      </c>
      <c r="K392" s="215"/>
      <c r="L392" s="216"/>
      <c r="M392" s="216"/>
      <c r="N392" s="216"/>
      <c r="O392" s="216"/>
      <c r="P392" s="112"/>
    </row>
    <row r="393" spans="2:16" x14ac:dyDescent="0.25">
      <c r="B393" s="122"/>
      <c r="C393" s="173" t="s">
        <v>264</v>
      </c>
      <c r="D393" s="173" t="s">
        <v>255</v>
      </c>
      <c r="E393" s="173" t="b">
        <v>1</v>
      </c>
      <c r="F393" s="173" t="s">
        <v>249</v>
      </c>
      <c r="G393" s="173" t="s">
        <v>247</v>
      </c>
      <c r="H393" s="43" t="str">
        <f t="shared" si="9"/>
        <v>LFA|TRUE|700to900|FreeDrain</v>
      </c>
      <c r="I393" s="119">
        <v>9.1638971105939576E-2</v>
      </c>
      <c r="J393" s="44">
        <v>10.613174631045339</v>
      </c>
      <c r="K393" s="215"/>
      <c r="L393" s="216"/>
      <c r="M393" s="216"/>
      <c r="N393" s="216"/>
      <c r="O393" s="216"/>
      <c r="P393" s="112"/>
    </row>
    <row r="394" spans="2:16" x14ac:dyDescent="0.25">
      <c r="B394" s="122"/>
      <c r="C394" s="173" t="s">
        <v>264</v>
      </c>
      <c r="D394" s="173" t="s">
        <v>255</v>
      </c>
      <c r="E394" s="173" t="b">
        <v>0</v>
      </c>
      <c r="F394" s="173" t="s">
        <v>249</v>
      </c>
      <c r="G394" s="173" t="s">
        <v>245</v>
      </c>
      <c r="H394" s="43" t="str">
        <f t="shared" si="9"/>
        <v>LFA|FALSE|700to900|DrainedAr</v>
      </c>
      <c r="I394" s="119">
        <v>9.7505040206741667E-2</v>
      </c>
      <c r="J394" s="44">
        <v>8.6449588082243345</v>
      </c>
      <c r="K394" s="215"/>
      <c r="L394" s="216"/>
      <c r="M394" s="216"/>
      <c r="N394" s="216"/>
      <c r="O394" s="216"/>
      <c r="P394" s="112"/>
    </row>
    <row r="395" spans="2:16" x14ac:dyDescent="0.25">
      <c r="B395" s="122"/>
      <c r="C395" s="173" t="s">
        <v>264</v>
      </c>
      <c r="D395" s="173" t="s">
        <v>255</v>
      </c>
      <c r="E395" s="173" t="b">
        <v>0</v>
      </c>
      <c r="F395" s="173" t="s">
        <v>249</v>
      </c>
      <c r="G395" s="173" t="s">
        <v>248</v>
      </c>
      <c r="H395" s="43" t="str">
        <f t="shared" si="9"/>
        <v>LFA|FALSE|700to900|DrainedArGr</v>
      </c>
      <c r="I395" s="119">
        <v>0.45312045839632142</v>
      </c>
      <c r="J395" s="44">
        <v>7.0067589015550684</v>
      </c>
      <c r="K395" s="215"/>
      <c r="L395" s="216"/>
      <c r="M395" s="216"/>
      <c r="N395" s="216"/>
      <c r="O395" s="216"/>
      <c r="P395" s="112"/>
    </row>
    <row r="396" spans="2:16" x14ac:dyDescent="0.25">
      <c r="B396" s="122"/>
      <c r="C396" s="173" t="s">
        <v>264</v>
      </c>
      <c r="D396" s="173" t="s">
        <v>255</v>
      </c>
      <c r="E396" s="173" t="b">
        <v>1</v>
      </c>
      <c r="F396" s="173" t="s">
        <v>249</v>
      </c>
      <c r="G396" s="173" t="s">
        <v>248</v>
      </c>
      <c r="H396" s="43" t="str">
        <f t="shared" si="9"/>
        <v>LFA|TRUE|700to900|DrainedArGr</v>
      </c>
      <c r="I396" s="119">
        <v>0.45310295478226487</v>
      </c>
      <c r="J396" s="44">
        <v>6.9986884038918369</v>
      </c>
      <c r="K396" s="215"/>
      <c r="L396" s="216"/>
      <c r="M396" s="216"/>
      <c r="N396" s="216"/>
      <c r="O396" s="216"/>
      <c r="P396" s="112"/>
    </row>
    <row r="397" spans="2:16" x14ac:dyDescent="0.25">
      <c r="B397" s="122"/>
      <c r="C397" s="173" t="s">
        <v>264</v>
      </c>
      <c r="D397" s="173" t="s">
        <v>255</v>
      </c>
      <c r="E397" s="173" t="b">
        <v>0</v>
      </c>
      <c r="F397" s="173" t="s">
        <v>259</v>
      </c>
      <c r="G397" s="173" t="s">
        <v>247</v>
      </c>
      <c r="H397" s="43" t="str">
        <f t="shared" si="9"/>
        <v>LFA|FALSE|900to1200|FreeDrain</v>
      </c>
      <c r="I397" s="119">
        <v>0.14648608159001697</v>
      </c>
      <c r="J397" s="44">
        <v>11.357160209638604</v>
      </c>
      <c r="K397" s="215"/>
      <c r="L397" s="216"/>
      <c r="M397" s="216"/>
      <c r="N397" s="216"/>
      <c r="O397" s="216"/>
      <c r="P397" s="112"/>
    </row>
    <row r="398" spans="2:16" x14ac:dyDescent="0.25">
      <c r="B398" s="122"/>
      <c r="C398" s="173" t="s">
        <v>264</v>
      </c>
      <c r="D398" s="173" t="s">
        <v>255</v>
      </c>
      <c r="E398" s="173" t="b">
        <v>0</v>
      </c>
      <c r="F398" s="173" t="s">
        <v>259</v>
      </c>
      <c r="G398" s="173" t="s">
        <v>245</v>
      </c>
      <c r="H398" s="43" t="str">
        <f t="shared" si="9"/>
        <v>LFA|FALSE|900to1200|DrainedAr</v>
      </c>
      <c r="I398" s="119">
        <v>0.15997599083860781</v>
      </c>
      <c r="J398" s="44">
        <v>10.841623213915202</v>
      </c>
      <c r="K398" s="215"/>
      <c r="L398" s="216"/>
      <c r="M398" s="216"/>
      <c r="N398" s="216"/>
      <c r="O398" s="216"/>
      <c r="P398" s="112"/>
    </row>
    <row r="399" spans="2:16" x14ac:dyDescent="0.25">
      <c r="B399" s="122"/>
      <c r="C399" s="173" t="s">
        <v>264</v>
      </c>
      <c r="D399" s="173" t="s">
        <v>255</v>
      </c>
      <c r="E399" s="173" t="b">
        <v>0</v>
      </c>
      <c r="F399" s="173" t="s">
        <v>259</v>
      </c>
      <c r="G399" s="173" t="s">
        <v>248</v>
      </c>
      <c r="H399" s="43" t="str">
        <f t="shared" si="9"/>
        <v>LFA|FALSE|900to1200|DrainedArGr</v>
      </c>
      <c r="I399" s="119">
        <v>0.76522164090054368</v>
      </c>
      <c r="J399" s="44">
        <v>9.04783145568266</v>
      </c>
      <c r="K399" s="215"/>
      <c r="L399" s="216"/>
      <c r="M399" s="216"/>
      <c r="N399" s="216"/>
      <c r="O399" s="216"/>
      <c r="P399" s="112"/>
    </row>
    <row r="400" spans="2:16" x14ac:dyDescent="0.25">
      <c r="B400" s="122"/>
      <c r="C400" s="173" t="s">
        <v>264</v>
      </c>
      <c r="D400" s="173" t="s">
        <v>255</v>
      </c>
      <c r="E400" s="173" t="b">
        <v>0</v>
      </c>
      <c r="F400" s="173" t="s">
        <v>260</v>
      </c>
      <c r="G400" s="173" t="s">
        <v>247</v>
      </c>
      <c r="H400" s="43" t="str">
        <f t="shared" si="9"/>
        <v>LFA|FALSE|1200to1500|FreeDrain</v>
      </c>
      <c r="I400" s="119">
        <v>0.2093192355212499</v>
      </c>
      <c r="J400" s="44">
        <v>11.058118943777288</v>
      </c>
      <c r="K400" s="215"/>
      <c r="L400" s="216"/>
      <c r="M400" s="216"/>
      <c r="N400" s="216"/>
      <c r="O400" s="216"/>
      <c r="P400" s="112"/>
    </row>
    <row r="401" spans="2:16" x14ac:dyDescent="0.25">
      <c r="B401" s="122"/>
      <c r="C401" s="173" t="s">
        <v>264</v>
      </c>
      <c r="D401" s="173" t="s">
        <v>255</v>
      </c>
      <c r="E401" s="173" t="b">
        <v>0</v>
      </c>
      <c r="F401" s="173" t="s">
        <v>260</v>
      </c>
      <c r="G401" s="173" t="s">
        <v>245</v>
      </c>
      <c r="H401" s="43" t="str">
        <f t="shared" si="9"/>
        <v>LFA|FALSE|1200to1500|DrainedAr</v>
      </c>
      <c r="I401" s="119">
        <v>0.2549085606980116</v>
      </c>
      <c r="J401" s="44">
        <v>11.881827802144715</v>
      </c>
      <c r="K401" s="215"/>
      <c r="L401" s="216"/>
      <c r="M401" s="216"/>
      <c r="N401" s="216"/>
      <c r="O401" s="216"/>
      <c r="P401" s="112"/>
    </row>
    <row r="402" spans="2:16" x14ac:dyDescent="0.25">
      <c r="B402" s="122"/>
      <c r="C402" s="173" t="s">
        <v>264</v>
      </c>
      <c r="D402" s="173" t="s">
        <v>255</v>
      </c>
      <c r="E402" s="173" t="b">
        <v>0</v>
      </c>
      <c r="F402" s="173" t="s">
        <v>260</v>
      </c>
      <c r="G402" s="173" t="s">
        <v>248</v>
      </c>
      <c r="H402" s="43" t="str">
        <f t="shared" si="9"/>
        <v>LFA|FALSE|1200to1500|DrainedArGr</v>
      </c>
      <c r="I402" s="119">
        <v>1.1334380907301227</v>
      </c>
      <c r="J402" s="44">
        <v>10.928757416371042</v>
      </c>
      <c r="K402" s="215"/>
      <c r="L402" s="216"/>
      <c r="M402" s="216"/>
      <c r="N402" s="216"/>
      <c r="O402" s="216"/>
      <c r="P402" s="112"/>
    </row>
    <row r="403" spans="2:16" x14ac:dyDescent="0.25">
      <c r="B403" s="122"/>
      <c r="C403" s="173" t="s">
        <v>264</v>
      </c>
      <c r="D403" s="173" t="s">
        <v>255</v>
      </c>
      <c r="E403" s="173" t="b">
        <v>0</v>
      </c>
      <c r="F403" s="173" t="s">
        <v>262</v>
      </c>
      <c r="G403" s="173" t="s">
        <v>247</v>
      </c>
      <c r="H403" s="43" t="str">
        <f t="shared" si="9"/>
        <v>LFA|FALSE|Over1500|FreeDrain</v>
      </c>
      <c r="I403" s="119">
        <v>0.33031560708054103</v>
      </c>
      <c r="J403" s="44">
        <v>10.243686624836249</v>
      </c>
      <c r="K403" s="215"/>
      <c r="L403" s="216"/>
      <c r="M403" s="216"/>
      <c r="N403" s="216"/>
      <c r="O403" s="216"/>
      <c r="P403" s="112"/>
    </row>
    <row r="404" spans="2:16" x14ac:dyDescent="0.25">
      <c r="B404" s="122"/>
      <c r="C404" s="173" t="s">
        <v>264</v>
      </c>
      <c r="D404" s="173" t="s">
        <v>256</v>
      </c>
      <c r="E404" s="173" t="b">
        <v>0</v>
      </c>
      <c r="F404" s="173" t="s">
        <v>244</v>
      </c>
      <c r="G404" s="173" t="s">
        <v>245</v>
      </c>
      <c r="H404" s="43" t="str">
        <f t="shared" si="9"/>
        <v>Lowland|FALSE|Under600|DrainedAr</v>
      </c>
      <c r="I404" s="119">
        <v>9.2249735559870538E-2</v>
      </c>
      <c r="J404" s="44">
        <v>6.0857781424951112</v>
      </c>
      <c r="K404" s="215"/>
      <c r="L404" s="216"/>
      <c r="M404" s="216"/>
      <c r="N404" s="216"/>
      <c r="O404" s="216"/>
      <c r="P404" s="112"/>
    </row>
    <row r="405" spans="2:16" x14ac:dyDescent="0.25">
      <c r="B405" s="122"/>
      <c r="C405" s="173" t="s">
        <v>264</v>
      </c>
      <c r="D405" s="173" t="s">
        <v>256</v>
      </c>
      <c r="E405" s="173" t="b">
        <v>0</v>
      </c>
      <c r="F405" s="173" t="s">
        <v>246</v>
      </c>
      <c r="G405" s="173" t="s">
        <v>247</v>
      </c>
      <c r="H405" s="43" t="str">
        <f t="shared" si="9"/>
        <v>Lowland|FALSE|600to700|FreeDrain</v>
      </c>
      <c r="I405" s="119">
        <v>7.2546789110729884E-2</v>
      </c>
      <c r="J405" s="44">
        <v>12.280320363953303</v>
      </c>
      <c r="K405" s="215"/>
      <c r="L405" s="216"/>
      <c r="M405" s="216"/>
      <c r="N405" s="216"/>
      <c r="O405" s="216"/>
      <c r="P405" s="112"/>
    </row>
    <row r="406" spans="2:16" x14ac:dyDescent="0.25">
      <c r="B406" s="122"/>
      <c r="C406" s="173" t="s">
        <v>264</v>
      </c>
      <c r="D406" s="173" t="s">
        <v>256</v>
      </c>
      <c r="E406" s="173" t="b">
        <v>1</v>
      </c>
      <c r="F406" s="173" t="s">
        <v>246</v>
      </c>
      <c r="G406" s="173" t="s">
        <v>247</v>
      </c>
      <c r="H406" s="43" t="str">
        <f t="shared" si="9"/>
        <v>Lowland|TRUE|600to700|FreeDrain</v>
      </c>
      <c r="I406" s="119">
        <v>7.2546653101799433E-2</v>
      </c>
      <c r="J406" s="44">
        <v>12.204623364866574</v>
      </c>
      <c r="K406" s="215"/>
      <c r="L406" s="216"/>
      <c r="M406" s="216"/>
      <c r="N406" s="216"/>
      <c r="O406" s="216"/>
      <c r="P406" s="112"/>
    </row>
    <row r="407" spans="2:16" x14ac:dyDescent="0.25">
      <c r="B407" s="122"/>
      <c r="C407" s="173" t="s">
        <v>264</v>
      </c>
      <c r="D407" s="173" t="s">
        <v>256</v>
      </c>
      <c r="E407" s="173" t="b">
        <v>0</v>
      </c>
      <c r="F407" s="173" t="s">
        <v>246</v>
      </c>
      <c r="G407" s="173" t="s">
        <v>245</v>
      </c>
      <c r="H407" s="43" t="str">
        <f t="shared" si="9"/>
        <v>Lowland|FALSE|600to700|DrainedAr</v>
      </c>
      <c r="I407" s="119">
        <v>9.9669342799240973E-2</v>
      </c>
      <c r="J407" s="44">
        <v>8.3680143207724065</v>
      </c>
      <c r="K407" s="215"/>
      <c r="L407" s="216"/>
      <c r="M407" s="216"/>
      <c r="N407" s="216"/>
      <c r="O407" s="216"/>
      <c r="P407" s="112"/>
    </row>
    <row r="408" spans="2:16" x14ac:dyDescent="0.25">
      <c r="B408" s="122"/>
      <c r="C408" s="173" t="s">
        <v>264</v>
      </c>
      <c r="D408" s="173" t="s">
        <v>256</v>
      </c>
      <c r="E408" s="173" t="b">
        <v>1</v>
      </c>
      <c r="F408" s="173" t="s">
        <v>246</v>
      </c>
      <c r="G408" s="173" t="s">
        <v>245</v>
      </c>
      <c r="H408" s="43" t="str">
        <f t="shared" si="9"/>
        <v>Lowland|TRUE|600to700|DrainedAr</v>
      </c>
      <c r="I408" s="119">
        <v>9.9669137667337426E-2</v>
      </c>
      <c r="J408" s="44">
        <v>8.3191182622352731</v>
      </c>
      <c r="K408" s="215"/>
      <c r="L408" s="216"/>
      <c r="M408" s="216"/>
      <c r="N408" s="216"/>
      <c r="O408" s="216"/>
      <c r="P408" s="112"/>
    </row>
    <row r="409" spans="2:16" x14ac:dyDescent="0.25">
      <c r="B409" s="122"/>
      <c r="C409" s="173" t="s">
        <v>264</v>
      </c>
      <c r="D409" s="173" t="s">
        <v>256</v>
      </c>
      <c r="E409" s="173" t="b">
        <v>0</v>
      </c>
      <c r="F409" s="173" t="s">
        <v>246</v>
      </c>
      <c r="G409" s="173" t="s">
        <v>248</v>
      </c>
      <c r="H409" s="43" t="str">
        <f t="shared" si="9"/>
        <v>Lowland|FALSE|600to700|DrainedArGr</v>
      </c>
      <c r="I409" s="119">
        <v>0.45931922014266519</v>
      </c>
      <c r="J409" s="44">
        <v>8.0376519181599786</v>
      </c>
      <c r="K409" s="215"/>
      <c r="L409" s="216"/>
      <c r="M409" s="216"/>
      <c r="N409" s="216"/>
      <c r="O409" s="216"/>
      <c r="P409" s="112"/>
    </row>
    <row r="410" spans="2:16" x14ac:dyDescent="0.25">
      <c r="B410" s="122"/>
      <c r="C410" s="173" t="s">
        <v>264</v>
      </c>
      <c r="D410" s="173" t="s">
        <v>256</v>
      </c>
      <c r="E410" s="173" t="b">
        <v>1</v>
      </c>
      <c r="F410" s="173" t="s">
        <v>246</v>
      </c>
      <c r="G410" s="173" t="s">
        <v>248</v>
      </c>
      <c r="H410" s="43" t="str">
        <f t="shared" si="9"/>
        <v>Lowland|TRUE|600to700|DrainedArGr</v>
      </c>
      <c r="I410" s="119">
        <v>0.45929907515573148</v>
      </c>
      <c r="J410" s="44">
        <v>8.0209312710181795</v>
      </c>
      <c r="K410" s="215"/>
      <c r="L410" s="216"/>
      <c r="M410" s="216"/>
      <c r="N410" s="216"/>
      <c r="O410" s="216"/>
      <c r="P410" s="112"/>
    </row>
    <row r="411" spans="2:16" x14ac:dyDescent="0.25">
      <c r="B411" s="122"/>
      <c r="C411" s="173" t="s">
        <v>264</v>
      </c>
      <c r="D411" s="173" t="s">
        <v>256</v>
      </c>
      <c r="E411" s="173" t="b">
        <v>0</v>
      </c>
      <c r="F411" s="173" t="s">
        <v>249</v>
      </c>
      <c r="G411" s="173" t="s">
        <v>247</v>
      </c>
      <c r="H411" s="43" t="str">
        <f t="shared" si="9"/>
        <v>Lowland|FALSE|700to900|FreeDrain</v>
      </c>
      <c r="I411" s="119">
        <v>0.12418705210583017</v>
      </c>
      <c r="J411" s="44">
        <v>17.375866935502227</v>
      </c>
      <c r="K411" s="215"/>
      <c r="L411" s="216"/>
      <c r="M411" s="216"/>
      <c r="N411" s="216"/>
      <c r="O411" s="216"/>
      <c r="P411" s="112"/>
    </row>
    <row r="412" spans="2:16" x14ac:dyDescent="0.25">
      <c r="B412" s="122"/>
      <c r="C412" s="173" t="s">
        <v>264</v>
      </c>
      <c r="D412" s="173" t="s">
        <v>256</v>
      </c>
      <c r="E412" s="173" t="b">
        <v>1</v>
      </c>
      <c r="F412" s="173" t="s">
        <v>249</v>
      </c>
      <c r="G412" s="173" t="s">
        <v>247</v>
      </c>
      <c r="H412" s="43" t="str">
        <f t="shared" si="9"/>
        <v>Lowland|TRUE|700to900|FreeDrain</v>
      </c>
      <c r="I412" s="119">
        <v>0.12418683554742165</v>
      </c>
      <c r="J412" s="44">
        <v>17.275924352725308</v>
      </c>
      <c r="K412" s="215"/>
      <c r="L412" s="216"/>
      <c r="M412" s="216"/>
      <c r="N412" s="216"/>
      <c r="O412" s="216"/>
      <c r="P412" s="112"/>
    </row>
    <row r="413" spans="2:16" x14ac:dyDescent="0.25">
      <c r="B413" s="122"/>
      <c r="C413" s="173" t="s">
        <v>264</v>
      </c>
      <c r="D413" s="173" t="s">
        <v>256</v>
      </c>
      <c r="E413" s="173" t="b">
        <v>0</v>
      </c>
      <c r="F413" s="173" t="s">
        <v>249</v>
      </c>
      <c r="G413" s="173" t="s">
        <v>245</v>
      </c>
      <c r="H413" s="43" t="str">
        <f t="shared" si="9"/>
        <v>Lowland|FALSE|700to900|DrainedAr</v>
      </c>
      <c r="I413" s="119">
        <v>0.1696179385633417</v>
      </c>
      <c r="J413" s="44">
        <v>13.617306753397312</v>
      </c>
      <c r="K413" s="215"/>
      <c r="L413" s="216"/>
      <c r="M413" s="216"/>
      <c r="N413" s="216"/>
      <c r="O413" s="216"/>
      <c r="P413" s="112"/>
    </row>
    <row r="414" spans="2:16" x14ac:dyDescent="0.25">
      <c r="B414" s="122"/>
      <c r="C414" s="173" t="s">
        <v>264</v>
      </c>
      <c r="D414" s="173" t="s">
        <v>256</v>
      </c>
      <c r="E414" s="173" t="b">
        <v>0</v>
      </c>
      <c r="F414" s="173" t="s">
        <v>249</v>
      </c>
      <c r="G414" s="173" t="s">
        <v>248</v>
      </c>
      <c r="H414" s="43" t="str">
        <f t="shared" si="9"/>
        <v>Lowland|FALSE|700to900|DrainedArGr</v>
      </c>
      <c r="I414" s="119">
        <v>0.71561919085008663</v>
      </c>
      <c r="J414" s="44">
        <v>10.008434040664431</v>
      </c>
      <c r="K414" s="215"/>
      <c r="L414" s="216"/>
      <c r="M414" s="216"/>
      <c r="N414" s="216"/>
      <c r="O414" s="216"/>
      <c r="P414" s="112"/>
    </row>
    <row r="415" spans="2:16" x14ac:dyDescent="0.25">
      <c r="B415" s="122"/>
      <c r="C415" s="173" t="s">
        <v>264</v>
      </c>
      <c r="D415" s="173" t="s">
        <v>256</v>
      </c>
      <c r="E415" s="173" t="b">
        <v>1</v>
      </c>
      <c r="F415" s="173" t="s">
        <v>249</v>
      </c>
      <c r="G415" s="173" t="s">
        <v>248</v>
      </c>
      <c r="H415" s="43" t="str">
        <f t="shared" si="9"/>
        <v>Lowland|TRUE|700to900|DrainedArGr</v>
      </c>
      <c r="I415" s="119">
        <v>0.71559480104164408</v>
      </c>
      <c r="J415" s="44">
        <v>9.9894735906181538</v>
      </c>
      <c r="K415" s="215"/>
      <c r="L415" s="216"/>
      <c r="M415" s="216"/>
      <c r="N415" s="216"/>
      <c r="O415" s="216"/>
      <c r="P415" s="112"/>
    </row>
    <row r="416" spans="2:16" x14ac:dyDescent="0.25">
      <c r="B416" s="122"/>
      <c r="C416" s="173" t="s">
        <v>264</v>
      </c>
      <c r="D416" s="173" t="s">
        <v>256</v>
      </c>
      <c r="E416" s="173" t="b">
        <v>0</v>
      </c>
      <c r="F416" s="173" t="s">
        <v>259</v>
      </c>
      <c r="G416" s="173" t="s">
        <v>247</v>
      </c>
      <c r="H416" s="43" t="str">
        <f t="shared" si="9"/>
        <v>Lowland|FALSE|900to1200|FreeDrain</v>
      </c>
      <c r="I416" s="119">
        <v>0.1902126541163974</v>
      </c>
      <c r="J416" s="44">
        <v>18.509220061117791</v>
      </c>
      <c r="K416" s="215"/>
      <c r="L416" s="216"/>
      <c r="M416" s="216"/>
      <c r="N416" s="216"/>
      <c r="O416" s="216"/>
      <c r="P416" s="112"/>
    </row>
    <row r="417" spans="2:16" x14ac:dyDescent="0.25">
      <c r="B417" s="122"/>
      <c r="C417" s="173" t="s">
        <v>264</v>
      </c>
      <c r="D417" s="173" t="s">
        <v>256</v>
      </c>
      <c r="E417" s="173" t="b">
        <v>0</v>
      </c>
      <c r="F417" s="173" t="s">
        <v>259</v>
      </c>
      <c r="G417" s="173" t="s">
        <v>248</v>
      </c>
      <c r="H417" s="43" t="str">
        <f t="shared" si="9"/>
        <v>Lowland|FALSE|900to1200|DrainedArGr</v>
      </c>
      <c r="I417" s="119">
        <v>1.1887489148425481</v>
      </c>
      <c r="J417" s="44">
        <v>13.299900741819583</v>
      </c>
      <c r="K417" s="215"/>
      <c r="L417" s="216"/>
      <c r="M417" s="216"/>
      <c r="N417" s="216"/>
      <c r="O417" s="216"/>
      <c r="P417" s="112"/>
    </row>
    <row r="418" spans="2:16" x14ac:dyDescent="0.25">
      <c r="B418" s="122"/>
      <c r="C418" s="173" t="s">
        <v>264</v>
      </c>
      <c r="D418" s="173" t="s">
        <v>256</v>
      </c>
      <c r="E418" s="173" t="b">
        <v>0</v>
      </c>
      <c r="F418" s="173" t="s">
        <v>260</v>
      </c>
      <c r="G418" s="173" t="s">
        <v>247</v>
      </c>
      <c r="H418" s="43" t="str">
        <f t="shared" si="9"/>
        <v>Lowland|FALSE|1200to1500|FreeDrain</v>
      </c>
      <c r="I418" s="119">
        <v>0.26255497540789058</v>
      </c>
      <c r="J418" s="44">
        <v>17.998404782603608</v>
      </c>
      <c r="K418" s="215"/>
      <c r="L418" s="216"/>
      <c r="M418" s="216"/>
      <c r="N418" s="216"/>
      <c r="O418" s="216"/>
      <c r="P418" s="112"/>
    </row>
    <row r="419" spans="2:16" x14ac:dyDescent="0.25">
      <c r="B419" s="122"/>
      <c r="C419" s="173" t="s">
        <v>264</v>
      </c>
      <c r="D419" s="173" t="s">
        <v>256</v>
      </c>
      <c r="E419" s="173" t="b">
        <v>0</v>
      </c>
      <c r="F419" s="173" t="s">
        <v>260</v>
      </c>
      <c r="G419" s="173" t="s">
        <v>248</v>
      </c>
      <c r="H419" s="43" t="str">
        <f t="shared" si="9"/>
        <v>Lowland|FALSE|1200to1500|DrainedArGr</v>
      </c>
      <c r="I419" s="119">
        <v>1.7296283240129122</v>
      </c>
      <c r="J419" s="44">
        <v>16.549589875812963</v>
      </c>
      <c r="K419" s="215"/>
      <c r="L419" s="216"/>
      <c r="M419" s="216"/>
      <c r="N419" s="216"/>
      <c r="O419" s="216"/>
      <c r="P419" s="112"/>
    </row>
    <row r="420" spans="2:16" x14ac:dyDescent="0.25">
      <c r="B420" s="122"/>
      <c r="C420" s="173" t="s">
        <v>264</v>
      </c>
      <c r="D420" s="173" t="s">
        <v>257</v>
      </c>
      <c r="E420" s="173" t="b">
        <v>0</v>
      </c>
      <c r="F420" s="173" t="s">
        <v>246</v>
      </c>
      <c r="G420" s="173" t="s">
        <v>247</v>
      </c>
      <c r="H420" s="43" t="str">
        <f t="shared" si="9"/>
        <v>Mixed|FALSE|600to700|FreeDrain</v>
      </c>
      <c r="I420" s="119">
        <v>7.174536271038634E-2</v>
      </c>
      <c r="J420" s="44">
        <v>24.429548530797728</v>
      </c>
      <c r="K420" s="215"/>
      <c r="L420" s="216"/>
      <c r="M420" s="216"/>
      <c r="N420" s="216"/>
      <c r="O420" s="216"/>
      <c r="P420" s="112"/>
    </row>
    <row r="421" spans="2:16" x14ac:dyDescent="0.25">
      <c r="B421" s="122"/>
      <c r="C421" s="173" t="s">
        <v>264</v>
      </c>
      <c r="D421" s="173" t="s">
        <v>257</v>
      </c>
      <c r="E421" s="173" t="b">
        <v>1</v>
      </c>
      <c r="F421" s="173" t="s">
        <v>246</v>
      </c>
      <c r="G421" s="173" t="s">
        <v>247</v>
      </c>
      <c r="H421" s="43" t="str">
        <f t="shared" si="9"/>
        <v>Mixed|TRUE|600to700|FreeDrain</v>
      </c>
      <c r="I421" s="119">
        <v>7.1530488950546187E-2</v>
      </c>
      <c r="J421" s="44">
        <v>24.36431530269093</v>
      </c>
      <c r="K421" s="215"/>
      <c r="L421" s="216"/>
      <c r="M421" s="216"/>
      <c r="N421" s="216"/>
      <c r="O421" s="216"/>
      <c r="P421" s="112"/>
    </row>
    <row r="422" spans="2:16" x14ac:dyDescent="0.25">
      <c r="B422" s="122"/>
      <c r="C422" s="173" t="s">
        <v>264</v>
      </c>
      <c r="D422" s="173" t="s">
        <v>257</v>
      </c>
      <c r="E422" s="173" t="b">
        <v>0</v>
      </c>
      <c r="F422" s="173" t="s">
        <v>246</v>
      </c>
      <c r="G422" s="173" t="s">
        <v>245</v>
      </c>
      <c r="H422" s="43" t="str">
        <f t="shared" si="9"/>
        <v>Mixed|FALSE|600to700|DrainedAr</v>
      </c>
      <c r="I422" s="119">
        <v>0.21470938746264906</v>
      </c>
      <c r="J422" s="44">
        <v>17.248886388375926</v>
      </c>
      <c r="K422" s="215"/>
      <c r="L422" s="216"/>
      <c r="M422" s="216"/>
      <c r="N422" s="216"/>
      <c r="O422" s="216"/>
      <c r="P422" s="112"/>
    </row>
    <row r="423" spans="2:16" x14ac:dyDescent="0.25">
      <c r="B423" s="122"/>
      <c r="C423" s="173" t="s">
        <v>264</v>
      </c>
      <c r="D423" s="173" t="s">
        <v>257</v>
      </c>
      <c r="E423" s="173" t="b">
        <v>1</v>
      </c>
      <c r="F423" s="173" t="s">
        <v>246</v>
      </c>
      <c r="G423" s="173" t="s">
        <v>245</v>
      </c>
      <c r="H423" s="43" t="str">
        <f t="shared" si="9"/>
        <v>Mixed|TRUE|600to700|DrainedAr</v>
      </c>
      <c r="I423" s="119">
        <v>0.21358089012022213</v>
      </c>
      <c r="J423" s="44">
        <v>17.034790062692895</v>
      </c>
      <c r="K423" s="215"/>
      <c r="L423" s="216"/>
      <c r="M423" s="216"/>
      <c r="N423" s="216"/>
      <c r="O423" s="216"/>
      <c r="P423" s="112"/>
    </row>
    <row r="424" spans="2:16" x14ac:dyDescent="0.25">
      <c r="B424" s="122"/>
      <c r="C424" s="173" t="s">
        <v>264</v>
      </c>
      <c r="D424" s="173" t="s">
        <v>257</v>
      </c>
      <c r="E424" s="173" t="b">
        <v>0</v>
      </c>
      <c r="F424" s="173" t="s">
        <v>246</v>
      </c>
      <c r="G424" s="173" t="s">
        <v>248</v>
      </c>
      <c r="H424" s="43" t="str">
        <f t="shared" si="9"/>
        <v>Mixed|FALSE|600to700|DrainedArGr</v>
      </c>
      <c r="I424" s="119">
        <v>0.56244458895393112</v>
      </c>
      <c r="J424" s="44">
        <v>17.161791484744004</v>
      </c>
      <c r="K424" s="215"/>
      <c r="L424" s="216"/>
      <c r="M424" s="216"/>
      <c r="N424" s="216"/>
      <c r="O424" s="216"/>
      <c r="P424" s="112"/>
    </row>
    <row r="425" spans="2:16" x14ac:dyDescent="0.25">
      <c r="B425" s="122"/>
      <c r="C425" s="173" t="s">
        <v>264</v>
      </c>
      <c r="D425" s="173" t="s">
        <v>257</v>
      </c>
      <c r="E425" s="173" t="b">
        <v>1</v>
      </c>
      <c r="F425" s="173" t="s">
        <v>246</v>
      </c>
      <c r="G425" s="173" t="s">
        <v>248</v>
      </c>
      <c r="H425" s="43" t="str">
        <f t="shared" si="9"/>
        <v>Mixed|TRUE|600to700|DrainedArGr</v>
      </c>
      <c r="I425" s="119">
        <v>0.55965858155184578</v>
      </c>
      <c r="J425" s="44">
        <v>16.886554526468004</v>
      </c>
      <c r="K425" s="215"/>
      <c r="L425" s="216"/>
      <c r="M425" s="216"/>
      <c r="N425" s="216"/>
      <c r="O425" s="216"/>
      <c r="P425" s="112"/>
    </row>
    <row r="426" spans="2:16" x14ac:dyDescent="0.25">
      <c r="B426" s="122"/>
      <c r="C426" s="173" t="s">
        <v>264</v>
      </c>
      <c r="D426" s="173" t="s">
        <v>257</v>
      </c>
      <c r="E426" s="173" t="b">
        <v>0</v>
      </c>
      <c r="F426" s="173" t="s">
        <v>249</v>
      </c>
      <c r="G426" s="173" t="s">
        <v>247</v>
      </c>
      <c r="H426" s="43" t="str">
        <f t="shared" si="9"/>
        <v>Mixed|FALSE|700to900|FreeDrain</v>
      </c>
      <c r="I426" s="119">
        <v>0.15766306783695483</v>
      </c>
      <c r="J426" s="44">
        <v>30.957637794774282</v>
      </c>
      <c r="K426" s="215"/>
      <c r="L426" s="216"/>
      <c r="M426" s="216"/>
      <c r="N426" s="216"/>
      <c r="O426" s="216"/>
      <c r="P426" s="112"/>
    </row>
    <row r="427" spans="2:16" x14ac:dyDescent="0.25">
      <c r="B427" s="122"/>
      <c r="C427" s="173" t="s">
        <v>264</v>
      </c>
      <c r="D427" s="173" t="s">
        <v>257</v>
      </c>
      <c r="E427" s="173" t="b">
        <v>1</v>
      </c>
      <c r="F427" s="173" t="s">
        <v>249</v>
      </c>
      <c r="G427" s="173" t="s">
        <v>247</v>
      </c>
      <c r="H427" s="43" t="str">
        <f t="shared" si="9"/>
        <v>Mixed|TRUE|700to900|FreeDrain</v>
      </c>
      <c r="I427" s="119">
        <v>0.15726828813978994</v>
      </c>
      <c r="J427" s="44">
        <v>30.871510535737546</v>
      </c>
      <c r="K427" s="215"/>
      <c r="L427" s="216"/>
      <c r="M427" s="216"/>
      <c r="N427" s="216"/>
      <c r="O427" s="216"/>
      <c r="P427" s="112"/>
    </row>
    <row r="428" spans="2:16" x14ac:dyDescent="0.25">
      <c r="B428" s="122"/>
      <c r="C428" s="173" t="s">
        <v>264</v>
      </c>
      <c r="D428" s="173" t="s">
        <v>257</v>
      </c>
      <c r="E428" s="173" t="b">
        <v>0</v>
      </c>
      <c r="F428" s="173" t="s">
        <v>249</v>
      </c>
      <c r="G428" s="173" t="s">
        <v>245</v>
      </c>
      <c r="H428" s="43" t="str">
        <f t="shared" si="9"/>
        <v>Mixed|FALSE|700to900|DrainedAr</v>
      </c>
      <c r="I428" s="119">
        <v>0.44899440943881469</v>
      </c>
      <c r="J428" s="44">
        <v>23.678533041514285</v>
      </c>
      <c r="K428" s="215"/>
      <c r="L428" s="216"/>
      <c r="M428" s="216"/>
      <c r="N428" s="216"/>
      <c r="O428" s="216"/>
      <c r="P428" s="112"/>
    </row>
    <row r="429" spans="2:16" x14ac:dyDescent="0.25">
      <c r="B429" s="122"/>
      <c r="C429" s="173" t="s">
        <v>264</v>
      </c>
      <c r="D429" s="173" t="s">
        <v>257</v>
      </c>
      <c r="E429" s="173" t="b">
        <v>1</v>
      </c>
      <c r="F429" s="173" t="s">
        <v>249</v>
      </c>
      <c r="G429" s="173" t="s">
        <v>245</v>
      </c>
      <c r="H429" s="43" t="str">
        <f t="shared" si="9"/>
        <v>Mixed|TRUE|700to900|DrainedAr</v>
      </c>
      <c r="I429" s="119">
        <v>0.44744111616267085</v>
      </c>
      <c r="J429" s="44">
        <v>23.392206147399513</v>
      </c>
      <c r="K429" s="215"/>
      <c r="L429" s="216"/>
      <c r="M429" s="216"/>
      <c r="N429" s="216"/>
      <c r="O429" s="216"/>
      <c r="P429" s="112"/>
    </row>
    <row r="430" spans="2:16" x14ac:dyDescent="0.25">
      <c r="B430" s="122"/>
      <c r="C430" s="173" t="s">
        <v>264</v>
      </c>
      <c r="D430" s="173" t="s">
        <v>257</v>
      </c>
      <c r="E430" s="173" t="b">
        <v>0</v>
      </c>
      <c r="F430" s="173" t="s">
        <v>249</v>
      </c>
      <c r="G430" s="173" t="s">
        <v>248</v>
      </c>
      <c r="H430" s="43" t="str">
        <f t="shared" si="9"/>
        <v>Mixed|FALSE|700to900|DrainedArGr</v>
      </c>
      <c r="I430" s="119">
        <v>0.9233945777767516</v>
      </c>
      <c r="J430" s="44">
        <v>19.579081396344929</v>
      </c>
      <c r="K430" s="215"/>
      <c r="L430" s="216"/>
      <c r="M430" s="216"/>
      <c r="N430" s="216"/>
      <c r="O430" s="216"/>
      <c r="P430" s="112"/>
    </row>
    <row r="431" spans="2:16" x14ac:dyDescent="0.25">
      <c r="B431" s="122"/>
      <c r="C431" s="173" t="s">
        <v>264</v>
      </c>
      <c r="D431" s="173" t="s">
        <v>257</v>
      </c>
      <c r="E431" s="173" t="b">
        <v>1</v>
      </c>
      <c r="F431" s="173" t="s">
        <v>249</v>
      </c>
      <c r="G431" s="173" t="s">
        <v>248</v>
      </c>
      <c r="H431" s="43" t="str">
        <f t="shared" si="9"/>
        <v>Mixed|TRUE|700to900|DrainedArGr</v>
      </c>
      <c r="I431" s="119">
        <v>0.91981258683186973</v>
      </c>
      <c r="J431" s="44">
        <v>19.230935445388067</v>
      </c>
      <c r="K431" s="215"/>
      <c r="L431" s="216"/>
      <c r="M431" s="216"/>
      <c r="N431" s="216"/>
      <c r="O431" s="216"/>
      <c r="P431" s="112"/>
    </row>
    <row r="432" spans="2:16" x14ac:dyDescent="0.25">
      <c r="B432" s="122"/>
      <c r="C432" s="173" t="s">
        <v>264</v>
      </c>
      <c r="D432" s="173" t="s">
        <v>257</v>
      </c>
      <c r="E432" s="173" t="b">
        <v>0</v>
      </c>
      <c r="F432" s="173" t="s">
        <v>259</v>
      </c>
      <c r="G432" s="173" t="s">
        <v>247</v>
      </c>
      <c r="H432" s="43" t="str">
        <f t="shared" si="9"/>
        <v>Mixed|FALSE|900to1200|FreeDrain</v>
      </c>
      <c r="I432" s="119">
        <v>0.25647994918672901</v>
      </c>
      <c r="J432" s="44">
        <v>32.775476849302393</v>
      </c>
      <c r="K432" s="215"/>
      <c r="L432" s="216"/>
      <c r="M432" s="216"/>
      <c r="N432" s="216"/>
      <c r="O432" s="216"/>
      <c r="P432" s="112"/>
    </row>
    <row r="433" spans="2:16" x14ac:dyDescent="0.25">
      <c r="B433" s="122"/>
      <c r="C433" s="173" t="s">
        <v>264</v>
      </c>
      <c r="D433" s="173" t="s">
        <v>257</v>
      </c>
      <c r="E433" s="173" t="b">
        <v>0</v>
      </c>
      <c r="F433" s="173" t="s">
        <v>259</v>
      </c>
      <c r="G433" s="173" t="s">
        <v>248</v>
      </c>
      <c r="H433" s="43" t="str">
        <f t="shared" si="9"/>
        <v>Mixed|FALSE|900to1200|DrainedArGr</v>
      </c>
      <c r="I433" s="119">
        <v>1.5101503828061786</v>
      </c>
      <c r="J433" s="44">
        <v>23.427607302305766</v>
      </c>
      <c r="K433" s="215"/>
      <c r="L433" s="216"/>
      <c r="M433" s="216"/>
      <c r="N433" s="216"/>
      <c r="O433" s="216"/>
      <c r="P433" s="112"/>
    </row>
    <row r="434" spans="2:16" x14ac:dyDescent="0.25">
      <c r="B434" s="122"/>
      <c r="C434" s="173" t="s">
        <v>265</v>
      </c>
      <c r="D434" s="173" t="s">
        <v>265</v>
      </c>
      <c r="E434" s="173" t="s">
        <v>265</v>
      </c>
      <c r="F434" s="173" t="s">
        <v>265</v>
      </c>
      <c r="G434" s="213" t="s">
        <v>266</v>
      </c>
      <c r="H434" s="43" t="str">
        <f>"|"&amp;"|"&amp;"|"&amp;G434</f>
        <v>|||Greenspace</v>
      </c>
      <c r="I434" s="214">
        <v>0.02</v>
      </c>
      <c r="J434" s="35">
        <v>3</v>
      </c>
      <c r="K434" s="27"/>
      <c r="L434" s="171"/>
      <c r="M434" s="171"/>
      <c r="N434" s="171"/>
      <c r="O434" s="171"/>
      <c r="P434" s="112"/>
    </row>
    <row r="435" spans="2:16" x14ac:dyDescent="0.25">
      <c r="B435" s="122"/>
      <c r="C435" s="173" t="s">
        <v>265</v>
      </c>
      <c r="D435" s="173" t="s">
        <v>265</v>
      </c>
      <c r="E435" s="173" t="s">
        <v>265</v>
      </c>
      <c r="F435" s="173" t="s">
        <v>265</v>
      </c>
      <c r="G435" s="213" t="s">
        <v>267</v>
      </c>
      <c r="H435" s="43" t="str">
        <f>"|"&amp;"|"&amp;"|"&amp;G435</f>
        <v>|||Community food growing</v>
      </c>
      <c r="I435" s="174">
        <f>IFERROR(VLOOKUP((VLOOKUP('Stage 2'!$E$9,Lookups!$C$471:$D$476,2,FALSE)&amp;"|"&amp;"General"&amp;"|"&amp;"FALSE"&amp;"|"&amp;VLOOKUP('Stage 2'!$E$11,Lookups!$C$445:$E$467,3,FALSE)&amp;"|"&amp;"FreeDrain"),$H$98:$O$433,2,FALSE), IFERROR(VLOOKUP("General"&amp;"|"&amp;VLOOKUP('Stage 2'!$E$11,Lookups!$C$445:$E$467,3,FALSE),$K$98:$O$253,2,FALSE),VLOOKUP("General",$D$98:$O$253,11,FALSE)))</f>
        <v>0.4360909399510064</v>
      </c>
      <c r="J435" s="175">
        <f>IFERROR(VLOOKUP((VLOOKUP('Stage 2'!$E$9,Lookups!$C$471:$D$476,2,FALSE)&amp;"|"&amp;"General"&amp;"|"&amp;"FALSE"&amp;"|"&amp;VLOOKUP('Stage 2'!$E$11,Lookups!$C$445:$E$467,3,FALSE)&amp;"|"&amp;"FreeDrain"),$H$98:$O$433,3,FALSE), IFERROR(VLOOKUP("General"&amp;"|"&amp;VLOOKUP('Stage 2'!$E$11,Lookups!$C$445:$E$467,3,FALSE),$K$98:$O$253,3,FALSE),VLOOKUP("General",$D$98:$O$253,12,FALSE)))</f>
        <v>16.726184556459021</v>
      </c>
      <c r="K435" s="171"/>
      <c r="L435" s="171"/>
      <c r="M435" s="171"/>
      <c r="N435" s="171"/>
      <c r="O435" s="171"/>
      <c r="P435" s="112"/>
    </row>
    <row r="436" spans="2:16" x14ac:dyDescent="0.25">
      <c r="B436" s="122"/>
      <c r="C436" s="173" t="s">
        <v>265</v>
      </c>
      <c r="D436" s="173" t="s">
        <v>265</v>
      </c>
      <c r="E436" s="173" t="s">
        <v>265</v>
      </c>
      <c r="F436" s="173" t="s">
        <v>265</v>
      </c>
      <c r="G436" s="213" t="s">
        <v>268</v>
      </c>
      <c r="H436" s="43" t="str">
        <f>"|"&amp;"|"&amp;"|"&amp;G436</f>
        <v>|||Woodland</v>
      </c>
      <c r="I436" s="214">
        <v>0.02</v>
      </c>
      <c r="J436" s="35">
        <v>3</v>
      </c>
      <c r="K436" s="27"/>
      <c r="L436" s="171"/>
      <c r="M436" s="171"/>
      <c r="N436" s="171"/>
      <c r="O436" s="171"/>
      <c r="P436" s="112"/>
    </row>
    <row r="437" spans="2:16" x14ac:dyDescent="0.25">
      <c r="B437" s="122"/>
      <c r="C437" s="173" t="s">
        <v>265</v>
      </c>
      <c r="D437" s="173" t="s">
        <v>265</v>
      </c>
      <c r="E437" s="173" t="s">
        <v>265</v>
      </c>
      <c r="F437" s="173" t="s">
        <v>265</v>
      </c>
      <c r="G437" s="213" t="s">
        <v>269</v>
      </c>
      <c r="H437" s="43" t="str">
        <f>"|"&amp;"|"&amp;"|"&amp;G437</f>
        <v>|||Shrub</v>
      </c>
      <c r="I437" s="214">
        <v>0.02</v>
      </c>
      <c r="J437" s="35">
        <v>3</v>
      </c>
      <c r="K437" s="27"/>
      <c r="L437" s="171"/>
      <c r="M437" s="171"/>
      <c r="N437" s="171"/>
      <c r="O437" s="171"/>
      <c r="P437" s="112"/>
    </row>
    <row r="438" spans="2:16" x14ac:dyDescent="0.25">
      <c r="B438" s="122"/>
      <c r="C438" s="173" t="s">
        <v>265</v>
      </c>
      <c r="D438" s="173" t="s">
        <v>265</v>
      </c>
      <c r="E438" s="173" t="s">
        <v>265</v>
      </c>
      <c r="F438" s="173" t="s">
        <v>265</v>
      </c>
      <c r="G438" s="213" t="s">
        <v>270</v>
      </c>
      <c r="H438" s="43" t="str">
        <f>"|"&amp;"|"&amp;"|"&amp;G438</f>
        <v>|||Water</v>
      </c>
      <c r="I438" s="214">
        <v>0</v>
      </c>
      <c r="J438" s="35">
        <v>0</v>
      </c>
      <c r="K438" s="27"/>
      <c r="L438" s="171"/>
      <c r="M438" s="171"/>
      <c r="N438" s="171"/>
      <c r="O438" s="171"/>
      <c r="P438" s="112"/>
    </row>
    <row r="439" spans="2:16" x14ac:dyDescent="0.25">
      <c r="B439" s="122"/>
      <c r="C439" s="173" t="s">
        <v>265</v>
      </c>
      <c r="D439" s="173" t="s">
        <v>265</v>
      </c>
      <c r="E439" s="173" t="s">
        <v>265</v>
      </c>
      <c r="F439" s="173" t="s">
        <v>265</v>
      </c>
      <c r="G439" s="43" t="s">
        <v>271</v>
      </c>
      <c r="H439" s="43" t="str">
        <f t="shared" ref="H439:H441" si="10">"|"&amp;"|"&amp;"|"&amp;G439</f>
        <v>|||Residential urban land</v>
      </c>
      <c r="I439" s="119" t="e">
        <f>VLOOKUP('Stage 2'!E11,Lookups!C445:H467,6,FALSE)</f>
        <v>#N/A</v>
      </c>
      <c r="J439" s="35" t="e">
        <f>VLOOKUP('Stage 2'!E11,Lookups!C445:K467,9,FALSE)</f>
        <v>#N/A</v>
      </c>
      <c r="K439" s="27"/>
      <c r="L439" s="171"/>
      <c r="M439" s="171"/>
      <c r="N439" s="171"/>
      <c r="O439" s="171"/>
      <c r="P439" s="112"/>
    </row>
    <row r="440" spans="2:16" x14ac:dyDescent="0.25">
      <c r="B440" s="122"/>
      <c r="C440" s="173" t="s">
        <v>265</v>
      </c>
      <c r="D440" s="173" t="s">
        <v>265</v>
      </c>
      <c r="E440" s="173" t="s">
        <v>265</v>
      </c>
      <c r="F440" s="173" t="s">
        <v>265</v>
      </c>
      <c r="G440" s="43" t="s">
        <v>272</v>
      </c>
      <c r="H440" s="43" t="str">
        <f t="shared" si="10"/>
        <v>|||Commercial/industrial urban land</v>
      </c>
      <c r="I440" s="119" t="e">
        <f>VLOOKUP('Stage 2'!E11,Lookups!C445:I467,7,FALSE)</f>
        <v>#N/A</v>
      </c>
      <c r="J440" s="35" t="e">
        <f>VLOOKUP('Stage 2'!E11,Lookups!C445:M467,10,FALSE)</f>
        <v>#N/A</v>
      </c>
      <c r="K440" s="27"/>
      <c r="L440" s="171"/>
      <c r="M440" s="171"/>
      <c r="N440" s="171"/>
      <c r="O440" s="171"/>
      <c r="P440" s="112"/>
    </row>
    <row r="441" spans="2:16" x14ac:dyDescent="0.25">
      <c r="B441" s="122"/>
      <c r="C441" s="173" t="s">
        <v>265</v>
      </c>
      <c r="D441" s="173" t="s">
        <v>265</v>
      </c>
      <c r="E441" s="173" t="s">
        <v>265</v>
      </c>
      <c r="F441" s="173" t="s">
        <v>265</v>
      </c>
      <c r="G441" s="43" t="s">
        <v>273</v>
      </c>
      <c r="H441" s="43" t="str">
        <f t="shared" si="10"/>
        <v>|||Open urban land</v>
      </c>
      <c r="I441" s="119" t="e">
        <f>VLOOKUP('Stage 2'!E11,Lookups!C445:J467,8,FALSE)</f>
        <v>#N/A</v>
      </c>
      <c r="J441" s="35" t="e">
        <f>VLOOKUP('Stage 2'!E11,Lookups!C445:P467,11,FALSE)</f>
        <v>#N/A</v>
      </c>
      <c r="K441" s="27"/>
      <c r="L441" s="171"/>
      <c r="M441" s="171"/>
      <c r="N441" s="171"/>
      <c r="O441" s="171"/>
      <c r="P441" s="112"/>
    </row>
    <row r="442" spans="2:16" x14ac:dyDescent="0.25">
      <c r="B442" s="122"/>
      <c r="C442" s="27"/>
      <c r="D442" s="27"/>
      <c r="E442" s="27"/>
      <c r="F442" s="27"/>
      <c r="G442" s="27"/>
      <c r="H442" s="27"/>
      <c r="I442" s="28"/>
      <c r="J442" s="28"/>
      <c r="K442" s="27"/>
      <c r="L442" s="171"/>
      <c r="M442" s="171"/>
      <c r="N442" s="171"/>
      <c r="O442" s="171"/>
      <c r="P442" s="112"/>
    </row>
    <row r="443" spans="2:16" x14ac:dyDescent="0.25">
      <c r="B443" s="122"/>
      <c r="C443" s="27" t="s">
        <v>274</v>
      </c>
      <c r="D443" s="27"/>
      <c r="E443" s="27"/>
      <c r="F443" s="27"/>
      <c r="G443" s="27"/>
      <c r="H443" s="27"/>
      <c r="I443" s="28"/>
      <c r="J443" s="28"/>
      <c r="K443" s="27"/>
      <c r="L443" s="171"/>
      <c r="M443" s="171"/>
      <c r="N443" s="171"/>
      <c r="O443" s="171"/>
      <c r="P443" s="112"/>
    </row>
    <row r="444" spans="2:16" ht="30.75" thickBot="1" x14ac:dyDescent="0.3">
      <c r="B444" s="122"/>
      <c r="C444" s="33" t="s">
        <v>275</v>
      </c>
      <c r="D444" s="45" t="s">
        <v>276</v>
      </c>
      <c r="E444" s="45" t="s">
        <v>277</v>
      </c>
      <c r="F444" s="45" t="s">
        <v>278</v>
      </c>
      <c r="G444" s="45" t="s">
        <v>279</v>
      </c>
      <c r="H444" s="45" t="s">
        <v>280</v>
      </c>
      <c r="I444" s="45" t="s">
        <v>281</v>
      </c>
      <c r="J444" s="45" t="s">
        <v>282</v>
      </c>
      <c r="K444" s="45" t="s">
        <v>283</v>
      </c>
      <c r="L444" s="33" t="s">
        <v>284</v>
      </c>
      <c r="M444" s="121" t="s">
        <v>285</v>
      </c>
      <c r="N444" s="15"/>
      <c r="O444" s="15"/>
      <c r="P444" s="112"/>
    </row>
    <row r="445" spans="2:16" ht="15.75" thickTop="1" x14ac:dyDescent="0.25">
      <c r="B445" s="122"/>
      <c r="C445" s="46" t="s">
        <v>286</v>
      </c>
      <c r="D445" s="174">
        <v>516.5</v>
      </c>
      <c r="E445" s="48" t="s">
        <v>244</v>
      </c>
      <c r="F445" s="174">
        <v>47.366326420209788</v>
      </c>
      <c r="G445" s="174">
        <v>63.946326420209786</v>
      </c>
      <c r="H445" s="174">
        <v>1.0030530114375726</v>
      </c>
      <c r="I445" s="174">
        <v>0.73394122788115068</v>
      </c>
      <c r="J445" s="174">
        <v>0.5382235671128438</v>
      </c>
      <c r="K445" s="174">
        <v>9.4130591148709328</v>
      </c>
      <c r="L445" s="176">
        <v>5.0202981945978298</v>
      </c>
      <c r="M445" s="175">
        <v>5.5487506361344439</v>
      </c>
      <c r="N445" s="177"/>
      <c r="O445" s="177"/>
      <c r="P445" s="112"/>
    </row>
    <row r="446" spans="2:16" x14ac:dyDescent="0.25">
      <c r="B446" s="122"/>
      <c r="C446" s="46" t="s">
        <v>287</v>
      </c>
      <c r="D446" s="174">
        <v>537.54999999999995</v>
      </c>
      <c r="E446" s="48" t="s">
        <v>244</v>
      </c>
      <c r="F446" s="174">
        <v>47.605509573313697</v>
      </c>
      <c r="G446" s="174">
        <v>64.185509573313695</v>
      </c>
      <c r="H446" s="174">
        <v>1.049204008516526</v>
      </c>
      <c r="I446" s="174">
        <v>0.76771025013404326</v>
      </c>
      <c r="J446" s="174">
        <v>0.56298751676496517</v>
      </c>
      <c r="K446" s="174">
        <v>9.8333323912734105</v>
      </c>
      <c r="L446" s="176">
        <v>5.2444439420124853</v>
      </c>
      <c r="M446" s="175">
        <v>5.7964906727506413</v>
      </c>
      <c r="N446" s="177"/>
      <c r="O446" s="177"/>
      <c r="P446" s="112"/>
    </row>
    <row r="447" spans="2:16" x14ac:dyDescent="0.25">
      <c r="B447" s="122"/>
      <c r="C447" s="46" t="s">
        <v>288</v>
      </c>
      <c r="D447" s="174">
        <v>562.54999999999995</v>
      </c>
      <c r="E447" s="48" t="s">
        <v>244</v>
      </c>
      <c r="F447" s="174">
        <v>47.8624816470968</v>
      </c>
      <c r="G447" s="174">
        <v>64.442481647096798</v>
      </c>
      <c r="H447" s="174">
        <v>1.1039266010735462</v>
      </c>
      <c r="I447" s="174">
        <v>0.80775117151722908</v>
      </c>
      <c r="J447" s="174">
        <v>0.59235085911263463</v>
      </c>
      <c r="K447" s="174">
        <v>10.331853644413675</v>
      </c>
      <c r="L447" s="176">
        <v>5.5103219436872939</v>
      </c>
      <c r="M447" s="175">
        <v>6.0903558324964822</v>
      </c>
      <c r="N447" s="177"/>
      <c r="O447" s="177"/>
      <c r="P447" s="112"/>
    </row>
    <row r="448" spans="2:16" x14ac:dyDescent="0.25">
      <c r="B448" s="122"/>
      <c r="C448" s="46" t="s">
        <v>289</v>
      </c>
      <c r="D448" s="174">
        <v>587.54999999999995</v>
      </c>
      <c r="E448" s="48" t="s">
        <v>244</v>
      </c>
      <c r="F448" s="174">
        <v>48.089720428979902</v>
      </c>
      <c r="G448" s="174">
        <v>64.6697204289799</v>
      </c>
      <c r="H448" s="174">
        <v>1.1584597247599329</v>
      </c>
      <c r="I448" s="174">
        <v>0.84765345714141427</v>
      </c>
      <c r="J448" s="174">
        <v>0.62161253523703719</v>
      </c>
      <c r="K448" s="174">
        <v>10.829057857843434</v>
      </c>
      <c r="L448" s="176">
        <v>5.775497524183165</v>
      </c>
      <c r="M448" s="175">
        <v>6.3834446319919191</v>
      </c>
      <c r="N448" s="177"/>
      <c r="O448" s="177"/>
      <c r="P448" s="112"/>
    </row>
    <row r="449" spans="2:16" x14ac:dyDescent="0.25">
      <c r="B449" s="122"/>
      <c r="C449" s="46" t="s">
        <v>290</v>
      </c>
      <c r="D449" s="174">
        <v>612.54999999999995</v>
      </c>
      <c r="E449" s="48" t="s">
        <v>246</v>
      </c>
      <c r="F449" s="174">
        <v>48.286892468962989</v>
      </c>
      <c r="G449" s="174">
        <v>64.866892468962988</v>
      </c>
      <c r="H449" s="174">
        <v>1.2127035752563942</v>
      </c>
      <c r="I449" s="174">
        <v>0.88734407945589822</v>
      </c>
      <c r="J449" s="174">
        <v>0.650718991600992</v>
      </c>
      <c r="K449" s="174">
        <v>11.324251269831036</v>
      </c>
      <c r="L449" s="176">
        <v>6.0396006772432189</v>
      </c>
      <c r="M449" s="175">
        <v>6.6753481169530309</v>
      </c>
      <c r="N449" s="177"/>
      <c r="O449" s="177"/>
      <c r="P449" s="112"/>
    </row>
    <row r="450" spans="2:16" x14ac:dyDescent="0.25">
      <c r="B450" s="122"/>
      <c r="C450" s="46" t="s">
        <v>291</v>
      </c>
      <c r="D450" s="174">
        <v>637.54999999999995</v>
      </c>
      <c r="E450" s="48" t="s">
        <v>246</v>
      </c>
      <c r="F450" s="174">
        <v>48.453664317046091</v>
      </c>
      <c r="G450" s="174">
        <v>65.033664317046089</v>
      </c>
      <c r="H450" s="174">
        <v>1.2665569810986419</v>
      </c>
      <c r="I450" s="174">
        <v>0.92674901055998193</v>
      </c>
      <c r="J450" s="174">
        <v>0.67961594107732015</v>
      </c>
      <c r="K450" s="174">
        <v>11.816730615319829</v>
      </c>
      <c r="L450" s="176">
        <v>6.302256328170575</v>
      </c>
      <c r="M450" s="175">
        <v>6.9656517311358979</v>
      </c>
      <c r="N450" s="177"/>
      <c r="O450" s="177"/>
      <c r="P450" s="112"/>
    </row>
    <row r="451" spans="2:16" x14ac:dyDescent="0.25">
      <c r="B451" s="122"/>
      <c r="C451" s="46" t="s">
        <v>292</v>
      </c>
      <c r="D451" s="174">
        <v>662.55</v>
      </c>
      <c r="E451" s="48" t="s">
        <v>246</v>
      </c>
      <c r="F451" s="174">
        <v>48.589702523229192</v>
      </c>
      <c r="G451" s="174">
        <v>65.169702523229191</v>
      </c>
      <c r="H451" s="174">
        <v>1.3199174036773855</v>
      </c>
      <c r="I451" s="174">
        <v>0.96579322220296504</v>
      </c>
      <c r="J451" s="174">
        <v>0.70824836294884108</v>
      </c>
      <c r="K451" s="174">
        <v>12.305783125928167</v>
      </c>
      <c r="L451" s="176">
        <v>6.5630843338283551</v>
      </c>
      <c r="M451" s="175">
        <v>7.2539353163366025</v>
      </c>
      <c r="N451" s="177"/>
      <c r="O451" s="177"/>
      <c r="P451" s="112"/>
    </row>
    <row r="452" spans="2:16" x14ac:dyDescent="0.25">
      <c r="B452" s="122"/>
      <c r="C452" s="46" t="s">
        <v>293</v>
      </c>
      <c r="D452" s="174">
        <v>687.55</v>
      </c>
      <c r="E452" s="48" t="s">
        <v>246</v>
      </c>
      <c r="F452" s="174">
        <v>48.694673637512295</v>
      </c>
      <c r="G452" s="174">
        <v>65.274673637512294</v>
      </c>
      <c r="H452" s="174">
        <v>1.3726809372383346</v>
      </c>
      <c r="I452" s="174">
        <v>1.0044006857841474</v>
      </c>
      <c r="J452" s="174">
        <v>0.73656050290837471</v>
      </c>
      <c r="K452" s="174">
        <v>12.790686529949399</v>
      </c>
      <c r="L452" s="176">
        <v>6.82169948263968</v>
      </c>
      <c r="M452" s="175">
        <v>7.5397731123912237</v>
      </c>
      <c r="N452" s="177"/>
      <c r="O452" s="177"/>
      <c r="P452" s="112"/>
    </row>
    <row r="453" spans="2:16" x14ac:dyDescent="0.25">
      <c r="B453" s="122"/>
      <c r="C453" s="46" t="s">
        <v>294</v>
      </c>
      <c r="D453" s="174">
        <v>725.05</v>
      </c>
      <c r="E453" s="48" t="s">
        <v>249</v>
      </c>
      <c r="F453" s="174">
        <v>48.793150089749446</v>
      </c>
      <c r="G453" s="174">
        <v>65.373150089749444</v>
      </c>
      <c r="H453" s="174">
        <v>1.4504764123754863</v>
      </c>
      <c r="I453" s="174">
        <v>1.0613242041771849</v>
      </c>
      <c r="J453" s="174">
        <v>0.77830441639660242</v>
      </c>
      <c r="K453" s="174">
        <v>13.508658704683258</v>
      </c>
      <c r="L453" s="176">
        <v>7.20461797583107</v>
      </c>
      <c r="M453" s="175">
        <v>7.9629988153922353</v>
      </c>
      <c r="N453" s="177"/>
      <c r="O453" s="177"/>
      <c r="P453" s="112"/>
    </row>
    <row r="454" spans="2:16" x14ac:dyDescent="0.25">
      <c r="B454" s="122"/>
      <c r="C454" s="46" t="s">
        <v>295</v>
      </c>
      <c r="D454" s="174">
        <v>775.05</v>
      </c>
      <c r="E454" s="48" t="s">
        <v>249</v>
      </c>
      <c r="F454" s="174">
        <v>48.817999999999984</v>
      </c>
      <c r="G454" s="174">
        <v>65.397999999999982</v>
      </c>
      <c r="H454" s="174">
        <v>1.5512920268999992</v>
      </c>
      <c r="I454" s="174">
        <v>1.1350917269999994</v>
      </c>
      <c r="J454" s="174">
        <v>0.83240059979999959</v>
      </c>
      <c r="K454" s="174">
        <v>14.445715171499996</v>
      </c>
      <c r="L454" s="176">
        <v>7.7043814247999975</v>
      </c>
      <c r="M454" s="175">
        <v>8.5153689431999986</v>
      </c>
      <c r="N454" s="177"/>
      <c r="O454" s="177"/>
      <c r="P454" s="112"/>
    </row>
    <row r="455" spans="2:16" x14ac:dyDescent="0.25">
      <c r="B455" s="122"/>
      <c r="C455" s="46" t="s">
        <v>296</v>
      </c>
      <c r="D455" s="174">
        <v>825.05</v>
      </c>
      <c r="E455" s="48" t="s">
        <v>249</v>
      </c>
      <c r="F455" s="174">
        <v>48.817999999999984</v>
      </c>
      <c r="G455" s="174">
        <v>65.397999999999982</v>
      </c>
      <c r="H455" s="174">
        <v>1.6513689268999994</v>
      </c>
      <c r="I455" s="174">
        <v>1.2083187269999995</v>
      </c>
      <c r="J455" s="174">
        <v>0.88610039979999966</v>
      </c>
      <c r="K455" s="174">
        <v>15.377636671499994</v>
      </c>
      <c r="L455" s="176">
        <v>8.2014062247999959</v>
      </c>
      <c r="M455" s="175">
        <v>9.064712143199996</v>
      </c>
      <c r="N455" s="177"/>
      <c r="O455" s="177"/>
      <c r="P455" s="112"/>
    </row>
    <row r="456" spans="2:16" x14ac:dyDescent="0.25">
      <c r="B456" s="122"/>
      <c r="C456" s="46" t="s">
        <v>297</v>
      </c>
      <c r="D456" s="174">
        <v>875.05</v>
      </c>
      <c r="E456" s="48" t="s">
        <v>249</v>
      </c>
      <c r="F456" s="174">
        <v>48.817999999999984</v>
      </c>
      <c r="G456" s="174">
        <v>65.397999999999982</v>
      </c>
      <c r="H456" s="174">
        <v>1.7514458268999995</v>
      </c>
      <c r="I456" s="174">
        <v>1.2815457269999997</v>
      </c>
      <c r="J456" s="174">
        <v>0.93980019979999974</v>
      </c>
      <c r="K456" s="174">
        <v>16.309558171499994</v>
      </c>
      <c r="L456" s="176">
        <v>8.6984310247999979</v>
      </c>
      <c r="M456" s="175">
        <v>9.6140553431999969</v>
      </c>
      <c r="N456" s="177"/>
      <c r="O456" s="177"/>
      <c r="P456" s="112"/>
    </row>
    <row r="457" spans="2:16" x14ac:dyDescent="0.25">
      <c r="B457" s="122"/>
      <c r="C457" s="46" t="s">
        <v>298</v>
      </c>
      <c r="D457" s="174">
        <v>925.05</v>
      </c>
      <c r="E457" s="48" t="s">
        <v>259</v>
      </c>
      <c r="F457" s="174">
        <v>48.817999999999984</v>
      </c>
      <c r="G457" s="174">
        <v>65.397999999999982</v>
      </c>
      <c r="H457" s="174">
        <v>1.851522726899999</v>
      </c>
      <c r="I457" s="174">
        <v>1.3547727269999992</v>
      </c>
      <c r="J457" s="174">
        <v>0.99349999979999948</v>
      </c>
      <c r="K457" s="174">
        <v>17.241479671499995</v>
      </c>
      <c r="L457" s="176">
        <v>9.1954558247999962</v>
      </c>
      <c r="M457" s="175">
        <v>10.163398543199996</v>
      </c>
      <c r="N457" s="177"/>
      <c r="O457" s="177"/>
      <c r="P457" s="112"/>
    </row>
    <row r="458" spans="2:16" x14ac:dyDescent="0.25">
      <c r="B458" s="122"/>
      <c r="C458" s="46" t="s">
        <v>299</v>
      </c>
      <c r="D458" s="174">
        <v>975.05</v>
      </c>
      <c r="E458" s="48" t="s">
        <v>259</v>
      </c>
      <c r="F458" s="174">
        <v>48.817999999999984</v>
      </c>
      <c r="G458" s="174">
        <v>65.397999999999982</v>
      </c>
      <c r="H458" s="174">
        <v>1.9515996268999991</v>
      </c>
      <c r="I458" s="174">
        <v>1.4279997269999993</v>
      </c>
      <c r="J458" s="174">
        <v>1.0471997997999996</v>
      </c>
      <c r="K458" s="174">
        <v>18.173401171499993</v>
      </c>
      <c r="L458" s="176">
        <v>9.6924806247999964</v>
      </c>
      <c r="M458" s="175">
        <v>10.712741743199995</v>
      </c>
      <c r="N458" s="177"/>
      <c r="O458" s="177"/>
      <c r="P458" s="112"/>
    </row>
    <row r="459" spans="2:16" x14ac:dyDescent="0.25">
      <c r="B459" s="122"/>
      <c r="C459" s="46" t="s">
        <v>300</v>
      </c>
      <c r="D459" s="174">
        <v>1050.05</v>
      </c>
      <c r="E459" s="48" t="s">
        <v>259</v>
      </c>
      <c r="F459" s="174">
        <v>48.817999999999984</v>
      </c>
      <c r="G459" s="174">
        <v>65.397999999999982</v>
      </c>
      <c r="H459" s="174">
        <v>2.101714976899999</v>
      </c>
      <c r="I459" s="174">
        <v>1.5378402269999993</v>
      </c>
      <c r="J459" s="174">
        <v>1.1277494997999997</v>
      </c>
      <c r="K459" s="174">
        <v>19.571283421499995</v>
      </c>
      <c r="L459" s="176">
        <v>10.438017824799996</v>
      </c>
      <c r="M459" s="175">
        <v>11.536756543199996</v>
      </c>
      <c r="N459" s="177"/>
      <c r="O459" s="177"/>
      <c r="P459" s="112"/>
    </row>
    <row r="460" spans="2:16" x14ac:dyDescent="0.25">
      <c r="B460" s="122"/>
      <c r="C460" s="46" t="s">
        <v>301</v>
      </c>
      <c r="D460" s="174">
        <v>1150.05</v>
      </c>
      <c r="E460" s="48" t="s">
        <v>259</v>
      </c>
      <c r="F460" s="174">
        <v>48.817999999999984</v>
      </c>
      <c r="G460" s="174">
        <v>65.397999999999982</v>
      </c>
      <c r="H460" s="174">
        <v>2.3018687768999988</v>
      </c>
      <c r="I460" s="174">
        <v>1.6842942269999992</v>
      </c>
      <c r="J460" s="174">
        <v>1.2351490997999994</v>
      </c>
      <c r="K460" s="174">
        <v>21.435126421499994</v>
      </c>
      <c r="L460" s="176">
        <v>11.432067424799996</v>
      </c>
      <c r="M460" s="175">
        <v>12.635442943199996</v>
      </c>
      <c r="N460" s="177"/>
      <c r="O460" s="177"/>
      <c r="P460" s="112"/>
    </row>
    <row r="461" spans="2:16" x14ac:dyDescent="0.25">
      <c r="B461" s="122"/>
      <c r="C461" s="46" t="s">
        <v>302</v>
      </c>
      <c r="D461" s="174">
        <v>1300.05</v>
      </c>
      <c r="E461" s="48" t="s">
        <v>260</v>
      </c>
      <c r="F461" s="174">
        <v>48.817999999999984</v>
      </c>
      <c r="G461" s="174">
        <v>65.397999999999982</v>
      </c>
      <c r="H461" s="174">
        <v>2.602099476899999</v>
      </c>
      <c r="I461" s="174">
        <v>1.9039752269999992</v>
      </c>
      <c r="J461" s="174">
        <v>1.3962484997999995</v>
      </c>
      <c r="K461" s="174">
        <v>24.230890921499991</v>
      </c>
      <c r="L461" s="176">
        <v>12.923141824799995</v>
      </c>
      <c r="M461" s="175">
        <v>14.283472543199993</v>
      </c>
      <c r="N461" s="177"/>
      <c r="O461" s="177"/>
      <c r="P461" s="112"/>
    </row>
    <row r="462" spans="2:16" x14ac:dyDescent="0.25">
      <c r="B462" s="122"/>
      <c r="C462" s="46" t="s">
        <v>303</v>
      </c>
      <c r="D462" s="174">
        <v>1500.05</v>
      </c>
      <c r="E462" s="48" t="s">
        <v>260</v>
      </c>
      <c r="F462" s="174">
        <v>48.817999999999984</v>
      </c>
      <c r="G462" s="174">
        <v>65.397999999999982</v>
      </c>
      <c r="H462" s="174">
        <v>3.0024070768999986</v>
      </c>
      <c r="I462" s="174">
        <v>2.1968832269999989</v>
      </c>
      <c r="J462" s="174">
        <v>1.6110476997999994</v>
      </c>
      <c r="K462" s="174">
        <v>27.95857692149999</v>
      </c>
      <c r="L462" s="176">
        <v>14.911241024799995</v>
      </c>
      <c r="M462" s="175">
        <v>16.480845343199995</v>
      </c>
      <c r="N462" s="177"/>
      <c r="O462" s="177"/>
      <c r="P462" s="112"/>
    </row>
    <row r="463" spans="2:16" x14ac:dyDescent="0.25">
      <c r="B463" s="122"/>
      <c r="C463" s="46" t="s">
        <v>304</v>
      </c>
      <c r="D463" s="174">
        <v>1800.05</v>
      </c>
      <c r="E463" s="48" t="s">
        <v>262</v>
      </c>
      <c r="F463" s="174">
        <v>48.817999999999984</v>
      </c>
      <c r="G463" s="174">
        <v>65.397999999999982</v>
      </c>
      <c r="H463" s="174">
        <v>3.6028684768999981</v>
      </c>
      <c r="I463" s="174">
        <v>2.6362452269999985</v>
      </c>
      <c r="J463" s="174">
        <v>1.9332464997999992</v>
      </c>
      <c r="K463" s="174">
        <v>33.550105921499991</v>
      </c>
      <c r="L463" s="176">
        <v>17.893389824799996</v>
      </c>
      <c r="M463" s="175">
        <v>19.776904543199993</v>
      </c>
      <c r="N463" s="177"/>
      <c r="O463" s="177"/>
      <c r="P463" s="112"/>
    </row>
    <row r="464" spans="2:16" x14ac:dyDescent="0.25">
      <c r="B464" s="122"/>
      <c r="C464" s="46" t="s">
        <v>305</v>
      </c>
      <c r="D464" s="174">
        <v>2200.0500000000002</v>
      </c>
      <c r="E464" s="48" t="s">
        <v>262</v>
      </c>
      <c r="F464" s="174">
        <v>48.817999999999984</v>
      </c>
      <c r="G464" s="174">
        <v>65.397999999999982</v>
      </c>
      <c r="H464" s="174">
        <v>4.4034836768999988</v>
      </c>
      <c r="I464" s="174">
        <v>3.2220612269999993</v>
      </c>
      <c r="J464" s="174">
        <v>2.3628448997999998</v>
      </c>
      <c r="K464" s="174">
        <v>41.005477921499988</v>
      </c>
      <c r="L464" s="176">
        <v>21.869588224799994</v>
      </c>
      <c r="M464" s="175">
        <v>24.17165014319999</v>
      </c>
      <c r="N464" s="177"/>
      <c r="O464" s="177"/>
      <c r="P464" s="112"/>
    </row>
    <row r="465" spans="2:16" x14ac:dyDescent="0.25">
      <c r="B465" s="122"/>
      <c r="C465" s="46" t="s">
        <v>306</v>
      </c>
      <c r="D465" s="174">
        <v>2700.05</v>
      </c>
      <c r="E465" s="48" t="s">
        <v>262</v>
      </c>
      <c r="F465" s="174">
        <v>48.817999999999984</v>
      </c>
      <c r="G465" s="174">
        <v>65.397999999999982</v>
      </c>
      <c r="H465" s="174">
        <v>5.4042526768999988</v>
      </c>
      <c r="I465" s="174">
        <v>3.9543312269999986</v>
      </c>
      <c r="J465" s="174">
        <v>2.8998428997999994</v>
      </c>
      <c r="K465" s="174">
        <v>50.324692921499988</v>
      </c>
      <c r="L465" s="176">
        <v>26.839836224799992</v>
      </c>
      <c r="M465" s="175">
        <v>29.665082143199992</v>
      </c>
      <c r="N465" s="177"/>
      <c r="O465" s="177"/>
      <c r="P465" s="112"/>
    </row>
    <row r="466" spans="2:16" x14ac:dyDescent="0.25">
      <c r="B466" s="122"/>
      <c r="C466" s="46" t="s">
        <v>307</v>
      </c>
      <c r="D466" s="174">
        <v>3500.05</v>
      </c>
      <c r="E466" s="48" t="s">
        <v>262</v>
      </c>
      <c r="F466" s="174">
        <v>48.817999999999984</v>
      </c>
      <c r="G466" s="174">
        <v>65.397999999999982</v>
      </c>
      <c r="H466" s="174">
        <v>7.0054830768999983</v>
      </c>
      <c r="I466" s="174">
        <v>5.1259632269999988</v>
      </c>
      <c r="J466" s="174">
        <v>3.7590396997999993</v>
      </c>
      <c r="K466" s="174">
        <v>65.235436921499982</v>
      </c>
      <c r="L466" s="176">
        <v>34.792233024799991</v>
      </c>
      <c r="M466" s="175">
        <v>38.454573343199982</v>
      </c>
      <c r="N466" s="177"/>
      <c r="O466" s="177"/>
      <c r="P466" s="112"/>
    </row>
    <row r="467" spans="2:16" x14ac:dyDescent="0.25">
      <c r="B467" s="122"/>
      <c r="C467" s="46" t="s">
        <v>308</v>
      </c>
      <c r="D467" s="174">
        <v>4750.05</v>
      </c>
      <c r="E467" s="48" t="s">
        <v>262</v>
      </c>
      <c r="F467" s="174">
        <v>48.817999999999984</v>
      </c>
      <c r="G467" s="174">
        <v>65.397999999999982</v>
      </c>
      <c r="H467" s="174">
        <v>9.5074055768999965</v>
      </c>
      <c r="I467" s="174">
        <v>6.9566382269999973</v>
      </c>
      <c r="J467" s="174">
        <v>5.1015346997999984</v>
      </c>
      <c r="K467" s="174">
        <v>88.533474421499989</v>
      </c>
      <c r="L467" s="176">
        <v>47.217853024799986</v>
      </c>
      <c r="M467" s="175">
        <v>52.188153343199986</v>
      </c>
      <c r="N467" s="177"/>
      <c r="O467" s="177"/>
      <c r="P467" s="112"/>
    </row>
    <row r="468" spans="2:16" x14ac:dyDescent="0.25">
      <c r="B468" s="122"/>
      <c r="C468" s="27"/>
      <c r="D468" s="27"/>
      <c r="E468" s="27"/>
      <c r="F468" s="27"/>
      <c r="G468" s="27"/>
      <c r="H468" s="27"/>
      <c r="I468" s="28"/>
      <c r="J468" s="28"/>
      <c r="K468" s="27"/>
      <c r="L468" s="171"/>
      <c r="M468" s="171"/>
      <c r="N468" s="171"/>
      <c r="O468" s="171"/>
      <c r="P468" s="112"/>
    </row>
    <row r="469" spans="2:16" x14ac:dyDescent="0.25">
      <c r="B469" s="122"/>
      <c r="C469" s="27" t="s">
        <v>309</v>
      </c>
      <c r="D469" s="27"/>
      <c r="E469" s="27"/>
      <c r="F469" s="27"/>
      <c r="G469" s="27" t="s">
        <v>310</v>
      </c>
      <c r="H469" s="27"/>
      <c r="I469" s="27" t="s">
        <v>311</v>
      </c>
      <c r="J469" s="28"/>
      <c r="K469" s="27"/>
      <c r="L469" s="171"/>
      <c r="M469" s="171"/>
      <c r="N469" s="171"/>
      <c r="O469" s="171"/>
      <c r="P469" s="112"/>
    </row>
    <row r="470" spans="2:16" ht="15.75" thickBot="1" x14ac:dyDescent="0.3">
      <c r="B470" s="122"/>
      <c r="C470" s="33" t="s">
        <v>312</v>
      </c>
      <c r="D470" s="39" t="s">
        <v>313</v>
      </c>
      <c r="E470" s="27"/>
      <c r="F470" s="27"/>
      <c r="G470" s="36" t="s">
        <v>314</v>
      </c>
      <c r="H470" s="27"/>
      <c r="I470" s="36" t="s">
        <v>315</v>
      </c>
      <c r="J470" s="28"/>
      <c r="K470" s="27"/>
      <c r="L470" s="171"/>
      <c r="M470" s="171"/>
      <c r="N470" s="171"/>
      <c r="O470" s="171"/>
      <c r="P470" s="112"/>
    </row>
    <row r="471" spans="2:16" ht="15.75" thickTop="1" x14ac:dyDescent="0.25">
      <c r="B471" s="122"/>
      <c r="C471" s="183" t="s">
        <v>242</v>
      </c>
      <c r="D471" s="184" t="s">
        <v>242</v>
      </c>
      <c r="E471" s="27"/>
      <c r="F471" s="27"/>
      <c r="G471" s="181" t="s">
        <v>243</v>
      </c>
      <c r="H471" s="27"/>
      <c r="I471" s="181" t="s">
        <v>243</v>
      </c>
      <c r="J471" s="1"/>
      <c r="K471" s="27"/>
      <c r="L471" s="171"/>
      <c r="M471" s="171"/>
      <c r="N471" s="171"/>
      <c r="O471" s="171"/>
      <c r="P471" s="112"/>
    </row>
    <row r="472" spans="2:16" x14ac:dyDescent="0.25">
      <c r="B472" s="122"/>
      <c r="C472" s="183" t="s">
        <v>258</v>
      </c>
      <c r="D472" s="184" t="s">
        <v>258</v>
      </c>
      <c r="E472" s="27"/>
      <c r="F472" s="27"/>
      <c r="G472" s="37" t="s">
        <v>250</v>
      </c>
      <c r="H472" s="27"/>
      <c r="I472" s="37" t="s">
        <v>250</v>
      </c>
      <c r="J472" s="28"/>
      <c r="K472" s="27"/>
      <c r="L472" s="171"/>
      <c r="M472" s="171"/>
      <c r="N472" s="171"/>
      <c r="O472" s="171"/>
      <c r="P472" s="112"/>
    </row>
    <row r="473" spans="2:16" x14ac:dyDescent="0.25">
      <c r="B473" s="122"/>
      <c r="C473" s="183" t="s">
        <v>261</v>
      </c>
      <c r="D473" s="184" t="s">
        <v>261</v>
      </c>
      <c r="E473" s="27"/>
      <c r="F473" s="27"/>
      <c r="G473" s="37" t="s">
        <v>251</v>
      </c>
      <c r="H473" s="27"/>
      <c r="I473" s="37" t="s">
        <v>251</v>
      </c>
      <c r="J473" s="28"/>
      <c r="K473" s="27"/>
      <c r="L473" s="171"/>
      <c r="M473" s="171"/>
      <c r="N473" s="171"/>
      <c r="O473" s="171"/>
      <c r="P473" s="112"/>
    </row>
    <row r="474" spans="2:16" x14ac:dyDescent="0.25">
      <c r="B474" s="122"/>
      <c r="C474" s="183" t="s">
        <v>263</v>
      </c>
      <c r="D474" s="184" t="s">
        <v>263</v>
      </c>
      <c r="E474" s="27"/>
      <c r="F474" s="27"/>
      <c r="G474" s="37" t="s">
        <v>252</v>
      </c>
      <c r="H474" s="27"/>
      <c r="I474" s="178" t="s">
        <v>252</v>
      </c>
      <c r="J474" s="28"/>
      <c r="K474" s="27"/>
      <c r="L474" s="171"/>
      <c r="M474" s="171"/>
      <c r="N474" s="171"/>
      <c r="O474" s="171"/>
      <c r="P474" s="112"/>
    </row>
    <row r="475" spans="2:16" x14ac:dyDescent="0.25">
      <c r="B475" s="122"/>
      <c r="C475" s="183" t="s">
        <v>333</v>
      </c>
      <c r="D475" s="184" t="s">
        <v>333</v>
      </c>
      <c r="E475" s="27"/>
      <c r="F475" s="27"/>
      <c r="G475" s="37" t="s">
        <v>253</v>
      </c>
      <c r="H475" s="27"/>
      <c r="I475" s="37" t="s">
        <v>253</v>
      </c>
      <c r="J475" s="28"/>
      <c r="K475" s="27"/>
      <c r="L475" s="171"/>
      <c r="M475" s="171"/>
      <c r="N475" s="171"/>
      <c r="O475" s="171"/>
      <c r="P475" s="112"/>
    </row>
    <row r="476" spans="2:16" x14ac:dyDescent="0.25">
      <c r="B476" s="122"/>
      <c r="C476" s="183" t="s">
        <v>332</v>
      </c>
      <c r="D476" s="184" t="s">
        <v>332</v>
      </c>
      <c r="E476" s="27"/>
      <c r="F476" s="27"/>
      <c r="G476" s="37" t="s">
        <v>254</v>
      </c>
      <c r="H476" s="27"/>
      <c r="I476" s="37" t="s">
        <v>254</v>
      </c>
      <c r="J476" s="28"/>
      <c r="K476" s="27"/>
      <c r="L476" s="171"/>
      <c r="M476" s="171"/>
      <c r="N476" s="171"/>
      <c r="O476" s="171"/>
      <c r="P476" s="112"/>
    </row>
    <row r="477" spans="2:16" x14ac:dyDescent="0.25">
      <c r="B477" s="122"/>
      <c r="C477" s="27"/>
      <c r="D477" s="27"/>
      <c r="E477" s="27"/>
      <c r="F477" s="27"/>
      <c r="G477" s="37" t="s">
        <v>255</v>
      </c>
      <c r="H477" s="27"/>
      <c r="I477" s="37" t="s">
        <v>255</v>
      </c>
      <c r="J477" s="28"/>
      <c r="K477" s="27"/>
      <c r="L477" s="171"/>
      <c r="M477" s="171"/>
      <c r="N477" s="171"/>
      <c r="O477" s="171"/>
      <c r="P477" s="112"/>
    </row>
    <row r="478" spans="2:16" x14ac:dyDescent="0.25">
      <c r="B478" s="122"/>
      <c r="C478" s="27" t="s">
        <v>316</v>
      </c>
      <c r="D478" s="27"/>
      <c r="E478" s="27"/>
      <c r="F478" s="27"/>
      <c r="G478" s="37" t="s">
        <v>256</v>
      </c>
      <c r="H478" s="27"/>
      <c r="I478" s="37" t="s">
        <v>256</v>
      </c>
      <c r="J478" s="28"/>
      <c r="K478" s="27"/>
      <c r="L478" s="171"/>
      <c r="M478" s="171"/>
      <c r="N478" s="171"/>
      <c r="O478" s="171"/>
      <c r="P478" s="112"/>
    </row>
    <row r="479" spans="2:16" ht="15.75" thickBot="1" x14ac:dyDescent="0.3">
      <c r="B479" s="122"/>
      <c r="C479" s="32" t="s">
        <v>317</v>
      </c>
      <c r="D479" s="31" t="s">
        <v>318</v>
      </c>
      <c r="E479" s="41" t="s">
        <v>319</v>
      </c>
      <c r="F479" s="27"/>
      <c r="G479" s="37" t="s">
        <v>257</v>
      </c>
      <c r="H479" s="27"/>
      <c r="I479" s="127" t="s">
        <v>257</v>
      </c>
      <c r="J479" s="171"/>
      <c r="K479" s="171"/>
      <c r="L479" s="171"/>
      <c r="M479" s="171"/>
      <c r="N479" s="171"/>
      <c r="O479" s="171"/>
      <c r="P479" s="112"/>
    </row>
    <row r="480" spans="2:16" ht="15.75" thickTop="1" x14ac:dyDescent="0.25">
      <c r="B480" s="122"/>
      <c r="C480" s="42" t="s">
        <v>320</v>
      </c>
      <c r="D480" s="43" t="s">
        <v>247</v>
      </c>
      <c r="E480" s="40" t="s">
        <v>321</v>
      </c>
      <c r="F480" s="27"/>
      <c r="G480" s="38" t="s">
        <v>266</v>
      </c>
      <c r="H480" s="29"/>
      <c r="I480" s="38" t="s">
        <v>266</v>
      </c>
      <c r="J480" s="171"/>
      <c r="K480" s="171"/>
      <c r="L480" s="171"/>
      <c r="M480" s="171"/>
      <c r="N480" s="171"/>
      <c r="O480" s="171"/>
      <c r="P480" s="112"/>
    </row>
    <row r="481" spans="2:16" x14ac:dyDescent="0.25">
      <c r="B481" s="122"/>
      <c r="C481" s="42" t="s">
        <v>322</v>
      </c>
      <c r="D481" s="43" t="s">
        <v>245</v>
      </c>
      <c r="E481" s="40" t="s">
        <v>323</v>
      </c>
      <c r="F481" s="27"/>
      <c r="G481" s="38" t="s">
        <v>268</v>
      </c>
      <c r="H481" s="27"/>
      <c r="I481" s="38" t="s">
        <v>268</v>
      </c>
      <c r="J481" s="171"/>
      <c r="K481" s="171"/>
      <c r="L481" s="171"/>
      <c r="M481" s="171"/>
      <c r="N481" s="171"/>
      <c r="O481" s="171"/>
      <c r="P481" s="112"/>
    </row>
    <row r="482" spans="2:16" x14ac:dyDescent="0.25">
      <c r="B482" s="122"/>
      <c r="C482" s="42" t="s">
        <v>324</v>
      </c>
      <c r="D482" s="43" t="s">
        <v>248</v>
      </c>
      <c r="E482" s="40" t="s">
        <v>325</v>
      </c>
      <c r="F482" s="27"/>
      <c r="G482" s="38" t="s">
        <v>269</v>
      </c>
      <c r="H482" s="27"/>
      <c r="I482" s="38" t="s">
        <v>269</v>
      </c>
      <c r="J482" s="171"/>
      <c r="K482" s="171"/>
      <c r="L482" s="171"/>
      <c r="M482" s="171"/>
      <c r="N482" s="171"/>
      <c r="O482" s="171"/>
      <c r="P482" s="112"/>
    </row>
    <row r="483" spans="2:16" x14ac:dyDescent="0.25">
      <c r="B483" s="122"/>
      <c r="C483" s="34" t="s">
        <v>326</v>
      </c>
      <c r="D483" s="43" t="s">
        <v>245</v>
      </c>
      <c r="E483" s="40" t="s">
        <v>323</v>
      </c>
      <c r="F483" s="27"/>
      <c r="G483" s="38" t="s">
        <v>270</v>
      </c>
      <c r="H483" s="27"/>
      <c r="I483" s="38" t="s">
        <v>270</v>
      </c>
      <c r="J483" s="171"/>
      <c r="K483" s="171"/>
      <c r="L483" s="171"/>
      <c r="M483" s="171"/>
      <c r="N483" s="171"/>
      <c r="O483" s="171"/>
      <c r="P483" s="112"/>
    </row>
    <row r="484" spans="2:16" x14ac:dyDescent="0.25">
      <c r="B484" s="122"/>
      <c r="C484" s="34" t="s">
        <v>327</v>
      </c>
      <c r="D484" s="43" t="s">
        <v>245</v>
      </c>
      <c r="E484" s="40" t="s">
        <v>323</v>
      </c>
      <c r="F484" s="27"/>
      <c r="G484" s="37" t="s">
        <v>271</v>
      </c>
      <c r="H484" s="27"/>
      <c r="I484" s="37" t="s">
        <v>271</v>
      </c>
      <c r="J484" s="171"/>
      <c r="K484" s="171"/>
      <c r="L484" s="171"/>
      <c r="M484" s="171"/>
      <c r="N484" s="171"/>
      <c r="O484" s="171"/>
      <c r="P484" s="112"/>
    </row>
    <row r="485" spans="2:16" x14ac:dyDescent="0.25">
      <c r="B485" s="122"/>
      <c r="C485" s="42" t="s">
        <v>328</v>
      </c>
      <c r="D485" s="43" t="s">
        <v>245</v>
      </c>
      <c r="E485" s="37" t="s">
        <v>323</v>
      </c>
      <c r="F485" s="27"/>
      <c r="G485" s="37" t="s">
        <v>334</v>
      </c>
      <c r="H485" s="27"/>
      <c r="I485" s="37" t="s">
        <v>334</v>
      </c>
      <c r="J485" s="171"/>
      <c r="K485" s="171"/>
      <c r="L485" s="171"/>
      <c r="M485" s="171"/>
      <c r="N485" s="171"/>
      <c r="O485" s="171"/>
      <c r="P485" s="112"/>
    </row>
    <row r="486" spans="2:16" x14ac:dyDescent="0.25">
      <c r="B486" s="122"/>
      <c r="C486" s="27"/>
      <c r="D486" s="28"/>
      <c r="E486" s="27"/>
      <c r="F486" s="27"/>
      <c r="G486" s="37" t="s">
        <v>273</v>
      </c>
      <c r="H486" s="27"/>
      <c r="I486" s="37" t="s">
        <v>273</v>
      </c>
      <c r="J486" s="171"/>
      <c r="K486" s="171"/>
      <c r="L486" s="171"/>
      <c r="M486" s="171"/>
      <c r="N486" s="171"/>
      <c r="O486" s="171"/>
      <c r="P486" s="112"/>
    </row>
    <row r="487" spans="2:16" x14ac:dyDescent="0.25">
      <c r="B487" s="122"/>
      <c r="C487" s="27" t="s">
        <v>329</v>
      </c>
      <c r="D487" s="28"/>
      <c r="E487" s="27"/>
      <c r="F487" s="27"/>
      <c r="G487" s="30" t="s">
        <v>267</v>
      </c>
      <c r="H487" s="27"/>
      <c r="I487" s="37" t="s">
        <v>267</v>
      </c>
      <c r="J487" s="171"/>
      <c r="K487" s="171"/>
      <c r="L487" s="171"/>
      <c r="M487" s="171"/>
      <c r="N487" s="171"/>
      <c r="O487" s="171"/>
      <c r="P487" s="112"/>
    </row>
    <row r="488" spans="2:16" ht="15.75" thickBot="1" x14ac:dyDescent="0.3">
      <c r="B488" s="122"/>
      <c r="C488" s="179" t="s">
        <v>231</v>
      </c>
      <c r="D488" s="36" t="s">
        <v>313</v>
      </c>
      <c r="E488" s="27"/>
      <c r="F488" s="27"/>
      <c r="G488" s="1"/>
      <c r="H488" s="27"/>
      <c r="I488" s="1"/>
      <c r="J488" s="171"/>
      <c r="K488" s="171"/>
      <c r="L488" s="171"/>
      <c r="M488" s="171"/>
      <c r="N488" s="171"/>
      <c r="O488" s="171"/>
      <c r="P488" s="112"/>
    </row>
    <row r="489" spans="2:16" ht="15.75" thickTop="1" x14ac:dyDescent="0.25">
      <c r="B489" s="122"/>
      <c r="C489" s="34" t="s">
        <v>330</v>
      </c>
      <c r="D489" s="35" t="b">
        <v>1</v>
      </c>
      <c r="E489" s="27"/>
      <c r="F489" s="27"/>
      <c r="G489" s="1"/>
      <c r="H489" s="27"/>
      <c r="I489" s="1"/>
      <c r="J489" s="171"/>
      <c r="K489" s="171"/>
      <c r="L489" s="171"/>
      <c r="M489" s="171"/>
      <c r="N489" s="171"/>
      <c r="O489" s="171"/>
      <c r="P489" s="112"/>
    </row>
    <row r="490" spans="2:16" x14ac:dyDescent="0.25">
      <c r="B490" s="122"/>
      <c r="C490" s="34" t="s">
        <v>331</v>
      </c>
      <c r="D490" s="35" t="b">
        <v>0</v>
      </c>
      <c r="E490" s="27"/>
      <c r="F490" s="27"/>
      <c r="G490" s="1"/>
      <c r="H490" s="27"/>
      <c r="I490" s="1"/>
      <c r="J490" s="171"/>
      <c r="K490" s="171"/>
      <c r="L490" s="171"/>
      <c r="M490" s="171"/>
      <c r="N490" s="171"/>
      <c r="O490" s="171"/>
      <c r="P490" s="112"/>
    </row>
    <row r="491" spans="2:16" x14ac:dyDescent="0.25">
      <c r="B491" s="122"/>
      <c r="C491" s="1"/>
      <c r="D491" s="1"/>
      <c r="E491" s="1"/>
      <c r="F491" s="27"/>
      <c r="G491" s="1"/>
      <c r="H491" s="27"/>
      <c r="I491" s="1"/>
      <c r="J491" s="171"/>
      <c r="K491" s="171"/>
      <c r="L491" s="171"/>
      <c r="M491" s="171"/>
      <c r="N491" s="171"/>
      <c r="O491" s="171"/>
      <c r="P491" s="112"/>
    </row>
    <row r="492" spans="2:16" x14ac:dyDescent="0.25">
      <c r="B492" s="122"/>
      <c r="C492" s="1"/>
      <c r="D492" s="1"/>
      <c r="E492" s="1"/>
      <c r="F492" s="27"/>
      <c r="G492" s="1"/>
      <c r="H492" s="27"/>
      <c r="I492" s="1"/>
      <c r="J492" s="171"/>
      <c r="K492" s="171"/>
      <c r="L492" s="171"/>
      <c r="M492" s="171"/>
      <c r="N492" s="171"/>
      <c r="O492" s="171"/>
      <c r="P492" s="112"/>
    </row>
    <row r="493" spans="2:16" x14ac:dyDescent="0.25">
      <c r="B493" s="122"/>
      <c r="C493" s="27"/>
      <c r="D493" s="28"/>
      <c r="E493" s="28"/>
      <c r="F493" s="27"/>
      <c r="G493" s="1"/>
      <c r="H493" s="27"/>
      <c r="I493" s="1"/>
      <c r="J493" s="1"/>
      <c r="K493" s="1"/>
      <c r="L493" s="1"/>
      <c r="M493" s="1"/>
      <c r="N493" s="1"/>
      <c r="O493" s="1"/>
      <c r="P493" s="112"/>
    </row>
    <row r="494" spans="2:16" ht="15.75" thickBot="1" x14ac:dyDescent="0.3">
      <c r="B494" s="138"/>
      <c r="C494" s="165"/>
      <c r="D494" s="166"/>
      <c r="E494" s="166"/>
      <c r="F494" s="165"/>
      <c r="G494" s="125"/>
      <c r="H494" s="167"/>
      <c r="I494" s="125"/>
      <c r="J494" s="125"/>
      <c r="K494" s="125"/>
      <c r="L494" s="125"/>
      <c r="M494" s="125"/>
      <c r="N494" s="125"/>
      <c r="O494" s="125"/>
      <c r="P494" s="126"/>
    </row>
    <row r="495" spans="2:16" ht="15.75" thickTop="1" x14ac:dyDescent="0.25">
      <c r="F495" s="37"/>
      <c r="H495" s="30"/>
    </row>
    <row r="496" spans="2:16" x14ac:dyDescent="0.25">
      <c r="F496" s="37"/>
      <c r="G496" s="37"/>
      <c r="H496" s="37"/>
      <c r="I496" s="35"/>
      <c r="J496" s="35"/>
      <c r="K496" s="30"/>
    </row>
    <row r="497" spans="6:16" x14ac:dyDescent="0.25">
      <c r="F497" s="37"/>
      <c r="G497" s="37"/>
      <c r="H497" s="37"/>
      <c r="I497" s="35"/>
      <c r="J497" s="35"/>
      <c r="K497" s="30"/>
    </row>
    <row r="498" spans="6:16" x14ac:dyDescent="0.25">
      <c r="F498" s="37"/>
      <c r="G498" s="37"/>
      <c r="H498" s="37"/>
      <c r="I498" s="35"/>
      <c r="J498" s="35"/>
      <c r="K498" s="30"/>
    </row>
    <row r="499" spans="6:16" x14ac:dyDescent="0.25">
      <c r="F499" s="37"/>
      <c r="G499" s="37"/>
      <c r="H499" s="37"/>
      <c r="I499" s="35"/>
      <c r="J499" s="35"/>
      <c r="K499" s="30"/>
    </row>
    <row r="500" spans="6:16" x14ac:dyDescent="0.25">
      <c r="F500" s="37"/>
      <c r="G500" s="37"/>
      <c r="H500" s="37"/>
      <c r="I500" s="35"/>
      <c r="J500" s="35"/>
      <c r="K500" s="30"/>
    </row>
    <row r="501" spans="6:16" x14ac:dyDescent="0.25">
      <c r="F501" s="37"/>
      <c r="G501" s="37"/>
      <c r="H501" s="37"/>
      <c r="I501" s="35"/>
      <c r="J501" s="35"/>
      <c r="K501" s="30"/>
    </row>
    <row r="502" spans="6:16" x14ac:dyDescent="0.25">
      <c r="F502" s="37"/>
      <c r="G502" s="37"/>
      <c r="H502" s="37"/>
      <c r="I502" s="35"/>
      <c r="J502" s="35"/>
      <c r="K502" s="30"/>
    </row>
    <row r="503" spans="6:16" x14ac:dyDescent="0.25">
      <c r="F503" s="37"/>
      <c r="G503" s="37"/>
      <c r="H503" s="37"/>
      <c r="I503" s="35"/>
      <c r="J503" s="35"/>
      <c r="K503" s="30"/>
    </row>
    <row r="504" spans="6:16" x14ac:dyDescent="0.25">
      <c r="F504" s="37"/>
      <c r="G504" s="37"/>
      <c r="H504" s="37"/>
      <c r="I504" s="35"/>
      <c r="J504" s="35"/>
      <c r="K504" s="30"/>
    </row>
    <row r="505" spans="6:16" x14ac:dyDescent="0.25">
      <c r="F505" s="37"/>
      <c r="G505" s="37"/>
      <c r="H505" s="37"/>
      <c r="I505" s="35"/>
      <c r="J505" s="35"/>
      <c r="K505" s="30"/>
    </row>
    <row r="506" spans="6:16" x14ac:dyDescent="0.25">
      <c r="F506" s="37"/>
      <c r="G506" s="37"/>
      <c r="H506" s="37"/>
      <c r="I506" s="35"/>
      <c r="J506" s="35"/>
      <c r="K506" s="30"/>
    </row>
    <row r="507" spans="6:16" x14ac:dyDescent="0.25">
      <c r="F507" s="37"/>
      <c r="G507" s="37"/>
      <c r="H507" s="37"/>
      <c r="I507" s="35"/>
      <c r="J507" s="35"/>
      <c r="K507" s="30"/>
    </row>
    <row r="508" spans="6:16" x14ac:dyDescent="0.25">
      <c r="F508" s="37"/>
      <c r="G508" s="37"/>
      <c r="H508" s="37"/>
      <c r="I508" s="35"/>
      <c r="J508" s="35"/>
      <c r="K508" s="30"/>
    </row>
    <row r="509" spans="6:16" x14ac:dyDescent="0.25">
      <c r="F509" s="37"/>
      <c r="G509" s="37"/>
      <c r="H509" s="37"/>
      <c r="I509" s="35"/>
      <c r="J509" s="35"/>
      <c r="K509" s="30"/>
    </row>
    <row r="510" spans="6:16" x14ac:dyDescent="0.25">
      <c r="F510" s="37"/>
      <c r="G510" s="37"/>
      <c r="H510" s="37"/>
      <c r="I510" s="35"/>
      <c r="J510" s="35"/>
      <c r="K510" s="30"/>
    </row>
    <row r="511" spans="6:16" x14ac:dyDescent="0.25">
      <c r="F511" s="37"/>
      <c r="G511" s="37"/>
      <c r="H511" s="37"/>
      <c r="I511" s="35"/>
      <c r="J511" s="35"/>
      <c r="K511" s="30"/>
    </row>
    <row r="512" spans="6:16" x14ac:dyDescent="0.25">
      <c r="F512" s="37"/>
      <c r="G512" s="37"/>
      <c r="H512" s="37"/>
      <c r="I512" s="35"/>
      <c r="J512" s="35"/>
      <c r="K512" s="30"/>
      <c r="L512" s="30"/>
      <c r="M512" s="30"/>
      <c r="N512" s="30"/>
      <c r="O512" s="30"/>
      <c r="P512" s="30"/>
    </row>
  </sheetData>
  <sheetProtection algorithmName="SHA-512" hashValue="4bQds70TV6b6/QfDkJJr2nu/yZDjtDVz5xkDlUJ/EuMpCRV7VUUiN/9MpHpAFQ04dt99HBUM7Fiq+2YHA3zs5Q==" saltValue="6vywzerK/XSJaA6FR7qh+A==" spinCount="100000" sheet="1" objects="1" scenarios="1"/>
  <mergeCells count="1">
    <mergeCell ref="B2:P4"/>
  </mergeCells>
  <phoneticPr fontId="29" type="noConversion"/>
  <dataValidations count="1">
    <dataValidation allowBlank="1" showInputMessage="1" showErrorMessage="1" prompt="This value is dependent on the rainfall volume." sqref="I439:J441 I435:J435" xr:uid="{5683ECF9-B236-43B7-B2FD-F42CED51FC31}"/>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D2A70-9462-4A3A-92DF-72D4081014B2}">
  <dimension ref="B2:N121"/>
  <sheetViews>
    <sheetView showRowColHeaders="0" zoomScaleNormal="100" workbookViewId="0">
      <selection activeCell="B36" sqref="B36:M36"/>
    </sheetView>
  </sheetViews>
  <sheetFormatPr defaultColWidth="9.140625" defaultRowHeight="15" x14ac:dyDescent="0.25"/>
  <cols>
    <col min="1" max="13" width="9.140625" style="127"/>
    <col min="14" max="14" width="1.7109375" style="127" customWidth="1"/>
    <col min="15" max="16384" width="9.140625" style="127"/>
  </cols>
  <sheetData>
    <row r="2" spans="2:14" ht="15.75" thickBot="1" x14ac:dyDescent="0.3"/>
    <row r="3" spans="2:14" ht="15.75" customHeight="1" thickTop="1" x14ac:dyDescent="0.25">
      <c r="B3" s="222" t="s">
        <v>1</v>
      </c>
      <c r="C3" s="223"/>
      <c r="D3" s="223"/>
      <c r="E3" s="223"/>
      <c r="F3" s="223"/>
      <c r="G3" s="223"/>
      <c r="H3" s="223"/>
      <c r="I3" s="223"/>
      <c r="J3" s="223"/>
      <c r="K3" s="223"/>
      <c r="L3" s="223"/>
      <c r="M3" s="223"/>
      <c r="N3" s="224"/>
    </row>
    <row r="4" spans="2:14" ht="15" customHeight="1" x14ac:dyDescent="0.25">
      <c r="B4" s="225"/>
      <c r="C4" s="226"/>
      <c r="D4" s="226"/>
      <c r="E4" s="226"/>
      <c r="F4" s="226"/>
      <c r="G4" s="226"/>
      <c r="H4" s="226"/>
      <c r="I4" s="226"/>
      <c r="J4" s="226"/>
      <c r="K4" s="226"/>
      <c r="L4" s="226"/>
      <c r="M4" s="226"/>
      <c r="N4" s="227"/>
    </row>
    <row r="5" spans="2:14" ht="15" customHeight="1" x14ac:dyDescent="0.25">
      <c r="B5" s="225"/>
      <c r="C5" s="226"/>
      <c r="D5" s="226"/>
      <c r="E5" s="226"/>
      <c r="F5" s="226"/>
      <c r="G5" s="226"/>
      <c r="H5" s="226"/>
      <c r="I5" s="226"/>
      <c r="J5" s="226"/>
      <c r="K5" s="226"/>
      <c r="L5" s="226"/>
      <c r="M5" s="226"/>
      <c r="N5" s="227"/>
    </row>
    <row r="6" spans="2:14" ht="8.25" customHeight="1" x14ac:dyDescent="0.25">
      <c r="B6" s="122"/>
      <c r="C6" s="1"/>
      <c r="D6" s="1"/>
      <c r="E6" s="1"/>
      <c r="F6" s="1"/>
      <c r="G6" s="1"/>
      <c r="H6" s="1"/>
      <c r="I6" s="1"/>
      <c r="J6" s="1"/>
      <c r="K6" s="1"/>
      <c r="L6" s="1"/>
      <c r="M6" s="1"/>
      <c r="N6" s="112"/>
    </row>
    <row r="7" spans="2:14" ht="56.25" customHeight="1" x14ac:dyDescent="0.25">
      <c r="B7" s="228" t="s">
        <v>2</v>
      </c>
      <c r="C7" s="229"/>
      <c r="D7" s="229"/>
      <c r="E7" s="229"/>
      <c r="F7" s="229"/>
      <c r="G7" s="229"/>
      <c r="H7" s="229"/>
      <c r="I7" s="229"/>
      <c r="J7" s="229"/>
      <c r="K7" s="229"/>
      <c r="L7" s="229"/>
      <c r="M7" s="229"/>
      <c r="N7" s="112"/>
    </row>
    <row r="8" spans="2:14" ht="59.25" customHeight="1" x14ac:dyDescent="0.25">
      <c r="B8" s="230" t="s">
        <v>3</v>
      </c>
      <c r="C8" s="231"/>
      <c r="D8" s="231"/>
      <c r="E8" s="231"/>
      <c r="F8" s="231"/>
      <c r="G8" s="231"/>
      <c r="H8" s="231"/>
      <c r="I8" s="231"/>
      <c r="J8" s="231"/>
      <c r="K8" s="231"/>
      <c r="L8" s="231"/>
      <c r="M8" s="231"/>
      <c r="N8" s="112"/>
    </row>
    <row r="9" spans="2:14" x14ac:dyDescent="0.25">
      <c r="B9" s="123"/>
      <c r="C9" s="22"/>
      <c r="D9" s="22"/>
      <c r="E9" s="22"/>
      <c r="F9" s="22"/>
      <c r="G9" s="22"/>
      <c r="H9" s="22"/>
      <c r="I9" s="22"/>
      <c r="J9" s="22"/>
      <c r="K9" s="22"/>
      <c r="L9" s="22"/>
      <c r="M9" s="22"/>
      <c r="N9" s="112"/>
    </row>
    <row r="10" spans="2:14" x14ac:dyDescent="0.25">
      <c r="B10" s="123"/>
      <c r="C10" s="22"/>
      <c r="D10" s="22"/>
      <c r="E10" s="22"/>
      <c r="F10" s="22"/>
      <c r="G10" s="22"/>
      <c r="H10" s="22"/>
      <c r="I10" s="22"/>
      <c r="J10" s="22"/>
      <c r="K10" s="22"/>
      <c r="L10" s="22"/>
      <c r="M10" s="22"/>
      <c r="N10" s="112"/>
    </row>
    <row r="11" spans="2:14" x14ac:dyDescent="0.25">
      <c r="B11" s="123"/>
      <c r="C11" s="22"/>
      <c r="D11" s="22"/>
      <c r="E11" s="22"/>
      <c r="F11" s="22"/>
      <c r="G11" s="22"/>
      <c r="H11" s="22"/>
      <c r="I11" s="22"/>
      <c r="J11" s="22"/>
      <c r="K11" s="22"/>
      <c r="L11" s="22"/>
      <c r="M11" s="22"/>
      <c r="N11" s="112"/>
    </row>
    <row r="12" spans="2:14" x14ac:dyDescent="0.25">
      <c r="B12" s="123"/>
      <c r="C12" s="22"/>
      <c r="D12" s="22"/>
      <c r="E12" s="22"/>
      <c r="F12" s="22"/>
      <c r="G12" s="22"/>
      <c r="H12" s="22"/>
      <c r="I12" s="22"/>
      <c r="J12" s="22"/>
      <c r="K12" s="22"/>
      <c r="L12" s="22"/>
      <c r="M12" s="22"/>
      <c r="N12" s="112"/>
    </row>
    <row r="13" spans="2:14" x14ac:dyDescent="0.25">
      <c r="B13" s="123"/>
      <c r="C13" s="22"/>
      <c r="D13" s="22"/>
      <c r="E13" s="22"/>
      <c r="F13" s="22"/>
      <c r="G13" s="22"/>
      <c r="H13" s="22"/>
      <c r="I13" s="22"/>
      <c r="J13" s="22"/>
      <c r="K13" s="22"/>
      <c r="L13" s="22"/>
      <c r="M13" s="22"/>
      <c r="N13" s="112"/>
    </row>
    <row r="14" spans="2:14" x14ac:dyDescent="0.25">
      <c r="B14" s="123"/>
      <c r="C14" s="22"/>
      <c r="D14" s="22"/>
      <c r="E14" s="22"/>
      <c r="F14" s="22"/>
      <c r="G14" s="22"/>
      <c r="H14" s="22"/>
      <c r="I14" s="22"/>
      <c r="J14" s="22"/>
      <c r="K14" s="22"/>
      <c r="L14" s="22"/>
      <c r="M14" s="22"/>
      <c r="N14" s="112"/>
    </row>
    <row r="15" spans="2:14" x14ac:dyDescent="0.25">
      <c r="B15" s="123"/>
      <c r="C15" s="22"/>
      <c r="D15" s="22"/>
      <c r="E15" s="22"/>
      <c r="F15" s="22"/>
      <c r="G15" s="22"/>
      <c r="H15" s="22"/>
      <c r="I15" s="22"/>
      <c r="J15" s="22"/>
      <c r="K15" s="22"/>
      <c r="L15" s="22"/>
      <c r="M15" s="22"/>
      <c r="N15" s="112"/>
    </row>
    <row r="16" spans="2:14" x14ac:dyDescent="0.25">
      <c r="B16" s="123"/>
      <c r="C16" s="22"/>
      <c r="D16" s="22"/>
      <c r="E16" s="22"/>
      <c r="F16" s="22"/>
      <c r="G16" s="22"/>
      <c r="H16" s="22"/>
      <c r="I16" s="22"/>
      <c r="J16" s="22"/>
      <c r="K16" s="22"/>
      <c r="L16" s="22"/>
      <c r="M16" s="22"/>
      <c r="N16" s="112"/>
    </row>
    <row r="17" spans="2:14" x14ac:dyDescent="0.25">
      <c r="B17" s="123"/>
      <c r="C17" s="22"/>
      <c r="D17" s="22"/>
      <c r="E17" s="22"/>
      <c r="F17" s="22"/>
      <c r="G17" s="22"/>
      <c r="H17" s="22"/>
      <c r="I17" s="22"/>
      <c r="J17" s="22"/>
      <c r="K17" s="22"/>
      <c r="L17" s="22"/>
      <c r="M17" s="22"/>
      <c r="N17" s="112"/>
    </row>
    <row r="18" spans="2:14" x14ac:dyDescent="0.25">
      <c r="B18" s="123"/>
      <c r="C18" s="22"/>
      <c r="D18" s="22"/>
      <c r="E18" s="22"/>
      <c r="F18" s="22"/>
      <c r="G18" s="22"/>
      <c r="H18" s="22"/>
      <c r="I18" s="22"/>
      <c r="J18" s="22"/>
      <c r="K18" s="22"/>
      <c r="L18" s="22"/>
      <c r="M18" s="22"/>
      <c r="N18" s="112"/>
    </row>
    <row r="19" spans="2:14" x14ac:dyDescent="0.25">
      <c r="B19" s="123"/>
      <c r="C19" s="22"/>
      <c r="D19" s="22"/>
      <c r="E19" s="22"/>
      <c r="F19" s="22"/>
      <c r="G19" s="22"/>
      <c r="H19" s="22"/>
      <c r="I19" s="22"/>
      <c r="J19" s="22"/>
      <c r="K19" s="22"/>
      <c r="L19" s="22"/>
      <c r="M19" s="22"/>
      <c r="N19" s="112"/>
    </row>
    <row r="20" spans="2:14" x14ac:dyDescent="0.25">
      <c r="B20" s="123"/>
      <c r="C20" s="22"/>
      <c r="D20" s="22"/>
      <c r="E20" s="22"/>
      <c r="F20" s="22"/>
      <c r="G20" s="22"/>
      <c r="H20" s="22"/>
      <c r="I20" s="22"/>
      <c r="J20" s="22"/>
      <c r="K20" s="22"/>
      <c r="L20" s="22"/>
      <c r="M20" s="22"/>
      <c r="N20" s="112"/>
    </row>
    <row r="21" spans="2:14" x14ac:dyDescent="0.25">
      <c r="B21" s="123"/>
      <c r="C21" s="22"/>
      <c r="D21" s="22"/>
      <c r="E21" s="22"/>
      <c r="F21" s="22"/>
      <c r="G21" s="22"/>
      <c r="H21" s="22"/>
      <c r="I21" s="22"/>
      <c r="J21" s="22"/>
      <c r="K21" s="22"/>
      <c r="L21" s="22"/>
      <c r="M21" s="22"/>
      <c r="N21" s="112"/>
    </row>
    <row r="22" spans="2:14" x14ac:dyDescent="0.25">
      <c r="B22" s="123"/>
      <c r="C22" s="22"/>
      <c r="D22" s="22"/>
      <c r="E22" s="22"/>
      <c r="F22" s="22"/>
      <c r="G22" s="22"/>
      <c r="H22" s="22"/>
      <c r="I22" s="22"/>
      <c r="J22" s="22"/>
      <c r="K22" s="22"/>
      <c r="L22" s="22"/>
      <c r="M22" s="22"/>
      <c r="N22" s="112"/>
    </row>
    <row r="23" spans="2:14" x14ac:dyDescent="0.25">
      <c r="B23" s="123"/>
      <c r="C23" s="22"/>
      <c r="D23" s="22"/>
      <c r="E23" s="22"/>
      <c r="F23" s="22"/>
      <c r="G23" s="22"/>
      <c r="H23" s="22"/>
      <c r="I23" s="22"/>
      <c r="J23" s="22"/>
      <c r="K23" s="22"/>
      <c r="L23" s="22"/>
      <c r="M23" s="22"/>
      <c r="N23" s="112"/>
    </row>
    <row r="24" spans="2:14" x14ac:dyDescent="0.25">
      <c r="B24" s="123"/>
      <c r="C24" s="22"/>
      <c r="D24" s="22"/>
      <c r="E24" s="22"/>
      <c r="F24" s="22"/>
      <c r="G24" s="22"/>
      <c r="H24" s="22"/>
      <c r="I24" s="22"/>
      <c r="J24" s="22"/>
      <c r="K24" s="22"/>
      <c r="L24" s="22"/>
      <c r="M24" s="22"/>
      <c r="N24" s="112"/>
    </row>
    <row r="25" spans="2:14" x14ac:dyDescent="0.25">
      <c r="B25" s="123"/>
      <c r="C25" s="22"/>
      <c r="D25" s="22"/>
      <c r="E25" s="22"/>
      <c r="F25" s="22"/>
      <c r="G25" s="22"/>
      <c r="H25" s="22"/>
      <c r="I25" s="22"/>
      <c r="J25" s="22"/>
      <c r="K25" s="22"/>
      <c r="L25" s="22"/>
      <c r="M25" s="22"/>
      <c r="N25" s="112"/>
    </row>
    <row r="26" spans="2:14" x14ac:dyDescent="0.25">
      <c r="B26" s="123"/>
      <c r="C26" s="22"/>
      <c r="D26" s="22"/>
      <c r="E26" s="22"/>
      <c r="F26" s="22"/>
      <c r="G26" s="22"/>
      <c r="H26" s="22"/>
      <c r="I26" s="22"/>
      <c r="J26" s="22"/>
      <c r="K26" s="22"/>
      <c r="L26" s="22"/>
      <c r="M26" s="22"/>
      <c r="N26" s="112"/>
    </row>
    <row r="27" spans="2:14" x14ac:dyDescent="0.25">
      <c r="B27" s="123"/>
      <c r="C27" s="22"/>
      <c r="D27" s="22"/>
      <c r="E27" s="22"/>
      <c r="F27" s="22"/>
      <c r="G27" s="22"/>
      <c r="H27" s="22"/>
      <c r="I27" s="22"/>
      <c r="J27" s="22"/>
      <c r="K27" s="22"/>
      <c r="L27" s="22"/>
      <c r="M27" s="22"/>
      <c r="N27" s="112"/>
    </row>
    <row r="28" spans="2:14" x14ac:dyDescent="0.25">
      <c r="B28" s="123"/>
      <c r="C28" s="22"/>
      <c r="D28" s="22"/>
      <c r="E28" s="22"/>
      <c r="F28" s="22"/>
      <c r="G28" s="22"/>
      <c r="H28" s="22"/>
      <c r="I28" s="22"/>
      <c r="J28" s="22"/>
      <c r="K28" s="22"/>
      <c r="L28" s="22"/>
      <c r="M28" s="22"/>
      <c r="N28" s="112"/>
    </row>
    <row r="29" spans="2:14" x14ac:dyDescent="0.25">
      <c r="B29" s="123"/>
      <c r="C29" s="22"/>
      <c r="D29" s="22"/>
      <c r="E29" s="22"/>
      <c r="F29" s="22"/>
      <c r="G29" s="22"/>
      <c r="H29" s="22"/>
      <c r="I29" s="22"/>
      <c r="J29" s="22"/>
      <c r="K29" s="22"/>
      <c r="L29" s="22"/>
      <c r="M29" s="22"/>
      <c r="N29" s="112"/>
    </row>
    <row r="30" spans="2:14" x14ac:dyDescent="0.25">
      <c r="B30" s="123"/>
      <c r="C30" s="22"/>
      <c r="D30" s="22"/>
      <c r="E30" s="22"/>
      <c r="F30" s="22"/>
      <c r="G30" s="22"/>
      <c r="H30" s="22"/>
      <c r="I30" s="22"/>
      <c r="J30" s="22"/>
      <c r="K30" s="22"/>
      <c r="L30" s="22"/>
      <c r="M30" s="22"/>
      <c r="N30" s="112"/>
    </row>
    <row r="31" spans="2:14" x14ac:dyDescent="0.25">
      <c r="B31" s="123"/>
      <c r="C31" s="22"/>
      <c r="D31" s="22"/>
      <c r="E31" s="22"/>
      <c r="F31" s="22"/>
      <c r="G31" s="22"/>
      <c r="H31" s="22"/>
      <c r="I31" s="22"/>
      <c r="J31" s="22"/>
      <c r="K31" s="22"/>
      <c r="L31" s="22"/>
      <c r="M31" s="22"/>
      <c r="N31" s="112"/>
    </row>
    <row r="32" spans="2:14" x14ac:dyDescent="0.25">
      <c r="B32" s="123"/>
      <c r="C32" s="22"/>
      <c r="D32" s="22"/>
      <c r="E32" s="22"/>
      <c r="F32" s="22"/>
      <c r="G32" s="22"/>
      <c r="H32" s="22"/>
      <c r="I32" s="22"/>
      <c r="J32" s="22"/>
      <c r="K32" s="22"/>
      <c r="L32" s="22"/>
      <c r="M32" s="22"/>
      <c r="N32" s="112"/>
    </row>
    <row r="33" spans="2:14" x14ac:dyDescent="0.25">
      <c r="B33" s="123"/>
      <c r="C33" s="22"/>
      <c r="D33" s="22"/>
      <c r="E33" s="22"/>
      <c r="F33" s="22"/>
      <c r="G33" s="22"/>
      <c r="H33" s="22"/>
      <c r="I33" s="22"/>
      <c r="J33" s="22"/>
      <c r="K33" s="22"/>
      <c r="L33" s="22"/>
      <c r="M33" s="22"/>
      <c r="N33" s="112"/>
    </row>
    <row r="34" spans="2:14" ht="57.75" customHeight="1" x14ac:dyDescent="0.25">
      <c r="B34" s="230" t="s">
        <v>4</v>
      </c>
      <c r="C34" s="231"/>
      <c r="D34" s="231"/>
      <c r="E34" s="231"/>
      <c r="F34" s="231"/>
      <c r="G34" s="231"/>
      <c r="H34" s="231"/>
      <c r="I34" s="231"/>
      <c r="J34" s="231"/>
      <c r="K34" s="231"/>
      <c r="L34" s="231"/>
      <c r="M34" s="231"/>
      <c r="N34" s="112"/>
    </row>
    <row r="35" spans="2:14" ht="60" customHeight="1" x14ac:dyDescent="0.25">
      <c r="B35" s="228" t="s">
        <v>5</v>
      </c>
      <c r="C35" s="229"/>
      <c r="D35" s="229"/>
      <c r="E35" s="229"/>
      <c r="F35" s="229"/>
      <c r="G35" s="229"/>
      <c r="H35" s="229"/>
      <c r="I35" s="229"/>
      <c r="J35" s="229"/>
      <c r="K35" s="229"/>
      <c r="L35" s="229"/>
      <c r="M35" s="229"/>
      <c r="N35" s="112"/>
    </row>
    <row r="36" spans="2:14" ht="81.75" customHeight="1" thickBot="1" x14ac:dyDescent="0.3">
      <c r="B36" s="220" t="s">
        <v>6</v>
      </c>
      <c r="C36" s="221"/>
      <c r="D36" s="221"/>
      <c r="E36" s="221"/>
      <c r="F36" s="221"/>
      <c r="G36" s="221"/>
      <c r="H36" s="221"/>
      <c r="I36" s="221"/>
      <c r="J36" s="221"/>
      <c r="K36" s="221"/>
      <c r="L36" s="221"/>
      <c r="M36" s="221"/>
      <c r="N36" s="126"/>
    </row>
    <row r="37" spans="2:14" ht="15.75" thickTop="1" x14ac:dyDescent="0.25">
      <c r="B37" s="30"/>
      <c r="C37" s="30"/>
      <c r="D37" s="30"/>
      <c r="E37" s="30"/>
      <c r="F37" s="30"/>
      <c r="G37" s="30"/>
      <c r="H37" s="30"/>
      <c r="I37" s="30"/>
      <c r="J37" s="30"/>
      <c r="K37" s="30"/>
      <c r="L37" s="30"/>
      <c r="M37" s="30"/>
    </row>
    <row r="38" spans="2:14" x14ac:dyDescent="0.25">
      <c r="B38" s="30"/>
      <c r="C38" s="30"/>
      <c r="D38" s="30"/>
      <c r="E38" s="30"/>
      <c r="F38" s="30"/>
      <c r="G38" s="30"/>
      <c r="H38" s="30"/>
      <c r="I38" s="30"/>
      <c r="J38" s="30"/>
      <c r="K38" s="30"/>
      <c r="L38" s="30"/>
      <c r="M38" s="30"/>
    </row>
    <row r="39" spans="2:14" x14ac:dyDescent="0.25">
      <c r="B39" s="30"/>
      <c r="C39" s="30"/>
      <c r="D39" s="30"/>
      <c r="E39" s="30"/>
      <c r="F39" s="30"/>
      <c r="G39" s="30"/>
      <c r="H39" s="30"/>
      <c r="I39" s="30"/>
      <c r="J39" s="30"/>
      <c r="K39" s="30"/>
      <c r="L39" s="30"/>
      <c r="M39" s="30"/>
    </row>
    <row r="40" spans="2:14" x14ac:dyDescent="0.25">
      <c r="B40" s="30"/>
      <c r="C40" s="30"/>
      <c r="D40" s="30"/>
      <c r="E40" s="30"/>
      <c r="F40" s="30"/>
      <c r="G40" s="30"/>
      <c r="H40" s="30"/>
      <c r="I40" s="30"/>
      <c r="J40" s="30"/>
      <c r="K40" s="30"/>
      <c r="L40" s="30"/>
      <c r="M40" s="30"/>
    </row>
    <row r="41" spans="2:14" x14ac:dyDescent="0.25">
      <c r="B41" s="30"/>
      <c r="C41" s="30"/>
      <c r="D41" s="30"/>
      <c r="E41" s="30"/>
      <c r="F41" s="30"/>
      <c r="G41" s="30"/>
      <c r="H41" s="30"/>
      <c r="I41" s="30"/>
      <c r="J41" s="30"/>
      <c r="K41" s="30"/>
      <c r="L41" s="30"/>
      <c r="M41" s="30"/>
    </row>
    <row r="42" spans="2:14" x14ac:dyDescent="0.25">
      <c r="B42" s="30"/>
      <c r="C42" s="30"/>
      <c r="D42" s="30"/>
      <c r="E42" s="30"/>
      <c r="F42" s="30"/>
      <c r="G42" s="30"/>
      <c r="H42" s="30"/>
      <c r="I42" s="30"/>
      <c r="J42" s="30"/>
      <c r="K42" s="30"/>
      <c r="L42" s="30"/>
      <c r="M42" s="30"/>
    </row>
    <row r="43" spans="2:14" x14ac:dyDescent="0.25">
      <c r="B43" s="30"/>
      <c r="C43" s="30"/>
      <c r="D43" s="30"/>
      <c r="E43" s="30"/>
      <c r="F43" s="30"/>
      <c r="G43" s="30"/>
      <c r="H43" s="30"/>
      <c r="I43" s="30"/>
      <c r="J43" s="30"/>
      <c r="K43" s="30"/>
      <c r="L43" s="30"/>
      <c r="M43" s="30"/>
    </row>
    <row r="44" spans="2:14" x14ac:dyDescent="0.25">
      <c r="B44" s="30"/>
      <c r="C44" s="30"/>
      <c r="D44" s="30"/>
      <c r="E44" s="30"/>
      <c r="F44" s="30"/>
      <c r="G44" s="30"/>
      <c r="H44" s="30"/>
      <c r="I44" s="30"/>
      <c r="J44" s="30"/>
      <c r="K44" s="30"/>
      <c r="L44" s="30"/>
      <c r="M44" s="30"/>
    </row>
    <row r="45" spans="2:14" x14ac:dyDescent="0.25">
      <c r="B45" s="30"/>
      <c r="C45" s="30"/>
      <c r="D45" s="30"/>
      <c r="E45" s="30"/>
      <c r="F45" s="30"/>
      <c r="G45" s="30"/>
      <c r="H45" s="30"/>
      <c r="I45" s="30"/>
      <c r="J45" s="30"/>
      <c r="K45" s="30"/>
      <c r="L45" s="30"/>
      <c r="M45" s="30"/>
    </row>
    <row r="46" spans="2:14" x14ac:dyDescent="0.25">
      <c r="B46" s="30"/>
      <c r="C46" s="30"/>
      <c r="D46" s="30"/>
      <c r="E46" s="30"/>
      <c r="F46" s="30"/>
      <c r="G46" s="30"/>
      <c r="H46" s="30"/>
      <c r="I46" s="30"/>
      <c r="J46" s="30"/>
      <c r="K46" s="30"/>
      <c r="L46" s="30"/>
      <c r="M46" s="30"/>
    </row>
    <row r="47" spans="2:14" x14ac:dyDescent="0.25">
      <c r="B47" s="30"/>
      <c r="C47" s="30"/>
      <c r="D47" s="30"/>
      <c r="E47" s="30"/>
      <c r="F47" s="30"/>
      <c r="G47" s="30"/>
      <c r="H47" s="30"/>
      <c r="I47" s="30"/>
      <c r="J47" s="30"/>
      <c r="K47" s="30"/>
      <c r="L47" s="30"/>
      <c r="M47" s="30"/>
    </row>
    <row r="48" spans="2:14" x14ac:dyDescent="0.25">
      <c r="B48" s="30"/>
      <c r="C48" s="30"/>
      <c r="D48" s="30"/>
      <c r="E48" s="30"/>
      <c r="F48" s="30"/>
      <c r="G48" s="30"/>
      <c r="H48" s="30"/>
      <c r="I48" s="30"/>
      <c r="J48" s="30"/>
      <c r="K48" s="30"/>
      <c r="L48" s="30"/>
      <c r="M48" s="30"/>
    </row>
    <row r="49" spans="2:13" x14ac:dyDescent="0.25">
      <c r="B49" s="30"/>
      <c r="C49" s="30"/>
      <c r="D49" s="30"/>
      <c r="E49" s="30"/>
      <c r="F49" s="30"/>
      <c r="G49" s="30"/>
      <c r="H49" s="30"/>
      <c r="I49" s="30"/>
      <c r="J49" s="30"/>
      <c r="K49" s="30"/>
      <c r="L49" s="30"/>
      <c r="M49" s="30"/>
    </row>
    <row r="50" spans="2:13" x14ac:dyDescent="0.25">
      <c r="B50" s="30"/>
      <c r="C50" s="30"/>
      <c r="D50" s="30"/>
      <c r="E50" s="30"/>
      <c r="F50" s="30"/>
      <c r="G50" s="30"/>
      <c r="H50" s="30"/>
      <c r="I50" s="30"/>
      <c r="J50" s="30"/>
      <c r="K50" s="30"/>
      <c r="L50" s="30"/>
      <c r="M50" s="30"/>
    </row>
    <row r="51" spans="2:13" x14ac:dyDescent="0.25">
      <c r="B51" s="30"/>
      <c r="C51" s="30"/>
      <c r="D51" s="30"/>
      <c r="E51" s="30"/>
      <c r="F51" s="30"/>
      <c r="G51" s="30"/>
      <c r="H51" s="30"/>
      <c r="I51" s="30"/>
      <c r="J51" s="30"/>
      <c r="K51" s="30"/>
      <c r="L51" s="30"/>
      <c r="M51" s="30"/>
    </row>
    <row r="52" spans="2:13" x14ac:dyDescent="0.25">
      <c r="B52" s="30"/>
      <c r="C52" s="30"/>
      <c r="D52" s="30"/>
      <c r="E52" s="30"/>
      <c r="F52" s="30"/>
      <c r="G52" s="30"/>
      <c r="H52" s="30"/>
      <c r="I52" s="30"/>
      <c r="J52" s="30"/>
      <c r="K52" s="30"/>
      <c r="L52" s="30"/>
      <c r="M52" s="30"/>
    </row>
    <row r="53" spans="2:13" x14ac:dyDescent="0.25">
      <c r="B53" s="30"/>
      <c r="C53" s="30"/>
      <c r="D53" s="30"/>
      <c r="E53" s="30"/>
      <c r="F53" s="30"/>
      <c r="G53" s="30"/>
      <c r="H53" s="30"/>
      <c r="I53" s="30"/>
      <c r="J53" s="30"/>
      <c r="K53" s="30"/>
      <c r="L53" s="30"/>
      <c r="M53" s="30"/>
    </row>
    <row r="54" spans="2:13" x14ac:dyDescent="0.25">
      <c r="B54" s="30"/>
      <c r="C54" s="30"/>
      <c r="D54" s="30"/>
      <c r="E54" s="30"/>
      <c r="F54" s="30"/>
      <c r="G54" s="30"/>
      <c r="H54" s="30"/>
      <c r="I54" s="30"/>
      <c r="J54" s="30"/>
      <c r="K54" s="30"/>
      <c r="L54" s="30"/>
      <c r="M54" s="30"/>
    </row>
    <row r="55" spans="2:13" x14ac:dyDescent="0.25">
      <c r="B55" s="30"/>
      <c r="C55" s="30"/>
      <c r="D55" s="30"/>
      <c r="E55" s="30"/>
      <c r="F55" s="30"/>
      <c r="G55" s="30"/>
      <c r="H55" s="30"/>
      <c r="I55" s="30"/>
      <c r="J55" s="30"/>
      <c r="K55" s="30"/>
      <c r="L55" s="30"/>
      <c r="M55" s="30"/>
    </row>
    <row r="56" spans="2:13" x14ac:dyDescent="0.25">
      <c r="B56" s="30"/>
      <c r="C56" s="30"/>
      <c r="D56" s="30"/>
      <c r="E56" s="30"/>
      <c r="F56" s="30"/>
      <c r="G56" s="30"/>
      <c r="H56" s="30"/>
      <c r="I56" s="30"/>
      <c r="J56" s="30"/>
      <c r="K56" s="30"/>
      <c r="L56" s="30"/>
      <c r="M56" s="30"/>
    </row>
    <row r="57" spans="2:13" x14ac:dyDescent="0.25">
      <c r="B57" s="30"/>
      <c r="C57" s="30"/>
      <c r="D57" s="30"/>
      <c r="E57" s="30"/>
      <c r="F57" s="30"/>
      <c r="G57" s="30"/>
      <c r="H57" s="30"/>
      <c r="I57" s="30"/>
      <c r="J57" s="30"/>
      <c r="K57" s="30"/>
      <c r="L57" s="30"/>
      <c r="M57" s="30"/>
    </row>
    <row r="58" spans="2:13" x14ac:dyDescent="0.25">
      <c r="B58" s="30"/>
      <c r="C58" s="30"/>
      <c r="D58" s="30"/>
      <c r="E58" s="30"/>
      <c r="F58" s="30"/>
      <c r="G58" s="30"/>
      <c r="H58" s="30"/>
      <c r="I58" s="30"/>
      <c r="J58" s="30"/>
      <c r="K58" s="30"/>
      <c r="L58" s="30"/>
      <c r="M58" s="30"/>
    </row>
    <row r="59" spans="2:13" x14ac:dyDescent="0.25">
      <c r="B59" s="30"/>
      <c r="C59" s="30"/>
      <c r="D59" s="30"/>
      <c r="E59" s="30"/>
      <c r="F59" s="30"/>
      <c r="G59" s="30"/>
      <c r="H59" s="30"/>
      <c r="I59" s="30"/>
      <c r="J59" s="30"/>
      <c r="K59" s="30"/>
      <c r="L59" s="30"/>
      <c r="M59" s="30"/>
    </row>
    <row r="60" spans="2:13" x14ac:dyDescent="0.25">
      <c r="B60" s="30"/>
      <c r="C60" s="30"/>
      <c r="D60" s="30"/>
      <c r="E60" s="30"/>
      <c r="F60" s="30"/>
      <c r="G60" s="30"/>
      <c r="H60" s="30"/>
      <c r="I60" s="30"/>
      <c r="J60" s="30"/>
      <c r="K60" s="30"/>
      <c r="L60" s="30"/>
      <c r="M60" s="30"/>
    </row>
    <row r="61" spans="2:13" x14ac:dyDescent="0.25">
      <c r="B61" s="30"/>
      <c r="C61" s="30"/>
      <c r="D61" s="30"/>
      <c r="E61" s="30"/>
      <c r="F61" s="30"/>
      <c r="G61" s="30"/>
      <c r="H61" s="30"/>
      <c r="I61" s="30"/>
      <c r="J61" s="30"/>
      <c r="K61" s="30"/>
      <c r="L61" s="30"/>
      <c r="M61" s="30"/>
    </row>
    <row r="62" spans="2:13" x14ac:dyDescent="0.25">
      <c r="B62" s="30"/>
      <c r="C62" s="30"/>
      <c r="D62" s="30"/>
      <c r="E62" s="30"/>
      <c r="F62" s="30"/>
      <c r="G62" s="30"/>
      <c r="H62" s="30"/>
      <c r="I62" s="30"/>
      <c r="J62" s="30"/>
      <c r="K62" s="30"/>
      <c r="L62" s="30"/>
      <c r="M62" s="30"/>
    </row>
    <row r="63" spans="2:13" x14ac:dyDescent="0.25">
      <c r="B63" s="30"/>
      <c r="C63" s="30"/>
      <c r="D63" s="30"/>
      <c r="E63" s="30"/>
      <c r="F63" s="30"/>
      <c r="G63" s="30"/>
      <c r="H63" s="30"/>
      <c r="I63" s="30"/>
      <c r="J63" s="30"/>
      <c r="K63" s="30"/>
      <c r="L63" s="30"/>
      <c r="M63" s="30"/>
    </row>
    <row r="64" spans="2:13" x14ac:dyDescent="0.25">
      <c r="B64" s="30"/>
      <c r="C64" s="30"/>
      <c r="D64" s="30"/>
      <c r="E64" s="30"/>
      <c r="F64" s="30"/>
      <c r="G64" s="30"/>
      <c r="H64" s="30"/>
      <c r="I64" s="30"/>
      <c r="J64" s="30"/>
      <c r="K64" s="30"/>
      <c r="L64" s="30"/>
      <c r="M64" s="30"/>
    </row>
    <row r="65" spans="2:13" x14ac:dyDescent="0.25">
      <c r="B65" s="30"/>
      <c r="C65" s="30"/>
      <c r="D65" s="30"/>
      <c r="E65" s="30"/>
      <c r="F65" s="30"/>
      <c r="G65" s="30"/>
      <c r="H65" s="30"/>
      <c r="I65" s="30"/>
      <c r="J65" s="30"/>
      <c r="K65" s="30"/>
      <c r="L65" s="30"/>
      <c r="M65" s="30"/>
    </row>
    <row r="66" spans="2:13" x14ac:dyDescent="0.25">
      <c r="B66" s="30"/>
      <c r="C66" s="30"/>
      <c r="D66" s="30"/>
      <c r="E66" s="30"/>
      <c r="F66" s="30"/>
      <c r="G66" s="30"/>
      <c r="H66" s="30"/>
      <c r="I66" s="30"/>
      <c r="J66" s="30"/>
      <c r="K66" s="30"/>
      <c r="L66" s="30"/>
      <c r="M66" s="30"/>
    </row>
    <row r="67" spans="2:13" x14ac:dyDescent="0.25">
      <c r="B67" s="30"/>
      <c r="C67" s="30"/>
      <c r="D67" s="30"/>
      <c r="E67" s="30"/>
      <c r="F67" s="30"/>
      <c r="G67" s="30"/>
      <c r="H67" s="30"/>
      <c r="I67" s="30"/>
      <c r="J67" s="30"/>
      <c r="K67" s="30"/>
      <c r="L67" s="30"/>
      <c r="M67" s="30"/>
    </row>
    <row r="68" spans="2:13" x14ac:dyDescent="0.25">
      <c r="B68" s="30"/>
      <c r="C68" s="30"/>
      <c r="D68" s="30"/>
      <c r="E68" s="30"/>
      <c r="F68" s="30"/>
      <c r="G68" s="30"/>
      <c r="H68" s="30"/>
      <c r="I68" s="30"/>
      <c r="J68" s="30"/>
      <c r="K68" s="30"/>
      <c r="L68" s="30"/>
      <c r="M68" s="30"/>
    </row>
    <row r="69" spans="2:13" x14ac:dyDescent="0.25">
      <c r="B69" s="30"/>
      <c r="C69" s="30"/>
      <c r="D69" s="30"/>
      <c r="E69" s="30"/>
      <c r="F69" s="30"/>
      <c r="G69" s="30"/>
      <c r="H69" s="30"/>
      <c r="I69" s="30"/>
      <c r="J69" s="30"/>
      <c r="K69" s="30"/>
      <c r="L69" s="30"/>
      <c r="M69" s="30"/>
    </row>
    <row r="70" spans="2:13" x14ac:dyDescent="0.25">
      <c r="B70" s="30"/>
      <c r="C70" s="30"/>
      <c r="D70" s="30"/>
      <c r="E70" s="30"/>
      <c r="F70" s="30"/>
      <c r="G70" s="30"/>
      <c r="H70" s="30"/>
      <c r="I70" s="30"/>
      <c r="J70" s="30"/>
      <c r="K70" s="30"/>
      <c r="L70" s="30"/>
      <c r="M70" s="30"/>
    </row>
    <row r="71" spans="2:13" x14ac:dyDescent="0.25">
      <c r="B71" s="30"/>
      <c r="C71" s="30"/>
      <c r="D71" s="30"/>
      <c r="E71" s="30"/>
      <c r="F71" s="30"/>
      <c r="G71" s="30"/>
      <c r="H71" s="30"/>
      <c r="I71" s="30"/>
      <c r="J71" s="30"/>
      <c r="K71" s="30"/>
      <c r="L71" s="30"/>
      <c r="M71" s="30"/>
    </row>
    <row r="72" spans="2:13" x14ac:dyDescent="0.25">
      <c r="B72" s="30"/>
      <c r="C72" s="30"/>
      <c r="D72" s="30"/>
      <c r="E72" s="30"/>
      <c r="F72" s="30"/>
      <c r="G72" s="30"/>
      <c r="H72" s="30"/>
      <c r="I72" s="30"/>
      <c r="J72" s="30"/>
      <c r="K72" s="30"/>
      <c r="L72" s="30"/>
      <c r="M72" s="30"/>
    </row>
    <row r="73" spans="2:13" x14ac:dyDescent="0.25">
      <c r="B73" s="30"/>
      <c r="C73" s="30"/>
      <c r="D73" s="30"/>
      <c r="E73" s="30"/>
      <c r="F73" s="30"/>
      <c r="G73" s="30"/>
      <c r="H73" s="30"/>
      <c r="I73" s="30"/>
      <c r="J73" s="30"/>
      <c r="K73" s="30"/>
      <c r="L73" s="30"/>
      <c r="M73" s="30"/>
    </row>
    <row r="74" spans="2:13" x14ac:dyDescent="0.25">
      <c r="B74" s="30"/>
      <c r="C74" s="30"/>
      <c r="D74" s="30"/>
      <c r="E74" s="30"/>
      <c r="F74" s="30"/>
      <c r="G74" s="30"/>
      <c r="H74" s="30"/>
      <c r="I74" s="30"/>
      <c r="J74" s="30"/>
      <c r="K74" s="30"/>
      <c r="L74" s="30"/>
      <c r="M74" s="30"/>
    </row>
    <row r="75" spans="2:13" x14ac:dyDescent="0.25">
      <c r="B75" s="30"/>
      <c r="C75" s="30"/>
      <c r="D75" s="30"/>
      <c r="E75" s="30"/>
      <c r="F75" s="30"/>
      <c r="G75" s="30"/>
      <c r="H75" s="30"/>
      <c r="I75" s="30"/>
      <c r="J75" s="30"/>
      <c r="K75" s="30"/>
      <c r="L75" s="30"/>
      <c r="M75" s="30"/>
    </row>
    <row r="76" spans="2:13" x14ac:dyDescent="0.25">
      <c r="B76" s="30"/>
      <c r="C76" s="30"/>
      <c r="D76" s="30"/>
      <c r="E76" s="30"/>
      <c r="F76" s="30"/>
      <c r="G76" s="30"/>
      <c r="H76" s="30"/>
      <c r="I76" s="30"/>
      <c r="J76" s="30"/>
      <c r="K76" s="30"/>
      <c r="L76" s="30"/>
      <c r="M76" s="30"/>
    </row>
    <row r="77" spans="2:13" x14ac:dyDescent="0.25">
      <c r="B77" s="30"/>
      <c r="C77" s="30"/>
      <c r="D77" s="30"/>
      <c r="E77" s="30"/>
      <c r="F77" s="30"/>
      <c r="G77" s="30"/>
      <c r="H77" s="30"/>
      <c r="I77" s="30"/>
      <c r="J77" s="30"/>
      <c r="K77" s="30"/>
      <c r="L77" s="30"/>
      <c r="M77" s="30"/>
    </row>
    <row r="78" spans="2:13" x14ac:dyDescent="0.25">
      <c r="B78" s="30"/>
      <c r="C78" s="30"/>
      <c r="D78" s="30"/>
      <c r="E78" s="30"/>
      <c r="F78" s="30"/>
      <c r="G78" s="30"/>
      <c r="H78" s="30"/>
      <c r="I78" s="30"/>
      <c r="J78" s="30"/>
      <c r="K78" s="30"/>
      <c r="L78" s="30"/>
      <c r="M78" s="30"/>
    </row>
    <row r="79" spans="2:13" x14ac:dyDescent="0.25">
      <c r="B79" s="30"/>
      <c r="C79" s="30"/>
      <c r="D79" s="30"/>
      <c r="E79" s="30"/>
      <c r="F79" s="30"/>
      <c r="G79" s="30"/>
      <c r="H79" s="30"/>
      <c r="I79" s="30"/>
      <c r="J79" s="30"/>
      <c r="K79" s="30"/>
      <c r="L79" s="30"/>
      <c r="M79" s="30"/>
    </row>
    <row r="80" spans="2:13" x14ac:dyDescent="0.25">
      <c r="B80" s="30"/>
      <c r="C80" s="30"/>
      <c r="D80" s="30"/>
      <c r="E80" s="30"/>
      <c r="F80" s="30"/>
      <c r="G80" s="30"/>
      <c r="H80" s="30"/>
      <c r="I80" s="30"/>
      <c r="J80" s="30"/>
      <c r="K80" s="30"/>
      <c r="L80" s="30"/>
      <c r="M80" s="30"/>
    </row>
    <row r="81" spans="2:13" x14ac:dyDescent="0.25">
      <c r="B81" s="30"/>
      <c r="C81" s="30"/>
      <c r="D81" s="30"/>
      <c r="E81" s="30"/>
      <c r="F81" s="30"/>
      <c r="G81" s="30"/>
      <c r="H81" s="30"/>
      <c r="I81" s="30"/>
      <c r="J81" s="30"/>
      <c r="K81" s="30"/>
      <c r="L81" s="30"/>
      <c r="M81" s="30"/>
    </row>
    <row r="82" spans="2:13" x14ac:dyDescent="0.25">
      <c r="B82" s="30"/>
      <c r="C82" s="30"/>
      <c r="D82" s="30"/>
      <c r="E82" s="30"/>
      <c r="F82" s="30"/>
      <c r="G82" s="30"/>
      <c r="H82" s="30"/>
      <c r="I82" s="30"/>
      <c r="J82" s="30"/>
      <c r="K82" s="30"/>
      <c r="L82" s="30"/>
      <c r="M82" s="30"/>
    </row>
    <row r="83" spans="2:13" x14ac:dyDescent="0.25">
      <c r="B83" s="30"/>
      <c r="C83" s="30"/>
      <c r="D83" s="30"/>
      <c r="E83" s="30"/>
      <c r="F83" s="30"/>
      <c r="G83" s="30"/>
      <c r="H83" s="30"/>
      <c r="I83" s="30"/>
      <c r="J83" s="30"/>
      <c r="K83" s="30"/>
      <c r="L83" s="30"/>
      <c r="M83" s="30"/>
    </row>
    <row r="84" spans="2:13" x14ac:dyDescent="0.25">
      <c r="B84" s="30"/>
      <c r="C84" s="30"/>
      <c r="D84" s="30"/>
      <c r="E84" s="30"/>
      <c r="F84" s="30"/>
      <c r="G84" s="30"/>
      <c r="H84" s="30"/>
      <c r="I84" s="30"/>
      <c r="J84" s="30"/>
      <c r="K84" s="30"/>
      <c r="L84" s="30"/>
      <c r="M84" s="30"/>
    </row>
    <row r="85" spans="2:13" x14ac:dyDescent="0.25">
      <c r="B85" s="30"/>
      <c r="C85" s="30"/>
      <c r="D85" s="30"/>
      <c r="E85" s="30"/>
      <c r="F85" s="30"/>
      <c r="G85" s="30"/>
      <c r="H85" s="30"/>
      <c r="I85" s="30"/>
      <c r="J85" s="30"/>
      <c r="K85" s="30"/>
      <c r="L85" s="30"/>
      <c r="M85" s="30"/>
    </row>
    <row r="86" spans="2:13" x14ac:dyDescent="0.25">
      <c r="B86" s="30"/>
      <c r="C86" s="30"/>
      <c r="D86" s="30"/>
      <c r="E86" s="30"/>
      <c r="F86" s="30"/>
      <c r="G86" s="30"/>
      <c r="H86" s="30"/>
      <c r="I86" s="30"/>
      <c r="J86" s="30"/>
      <c r="K86" s="30"/>
      <c r="L86" s="30"/>
      <c r="M86" s="30"/>
    </row>
    <row r="87" spans="2:13" x14ac:dyDescent="0.25">
      <c r="B87" s="30"/>
      <c r="C87" s="30"/>
      <c r="D87" s="30"/>
      <c r="E87" s="30"/>
      <c r="F87" s="30"/>
      <c r="G87" s="30"/>
      <c r="H87" s="30"/>
      <c r="I87" s="30"/>
      <c r="J87" s="30"/>
      <c r="K87" s="30"/>
      <c r="L87" s="30"/>
      <c r="M87" s="30"/>
    </row>
    <row r="88" spans="2:13" x14ac:dyDescent="0.25">
      <c r="B88" s="30"/>
      <c r="C88" s="30"/>
      <c r="D88" s="30"/>
      <c r="E88" s="30"/>
      <c r="F88" s="30"/>
      <c r="G88" s="30"/>
      <c r="H88" s="30"/>
      <c r="I88" s="30"/>
      <c r="J88" s="30"/>
      <c r="K88" s="30"/>
      <c r="L88" s="30"/>
      <c r="M88" s="30"/>
    </row>
    <row r="89" spans="2:13" x14ac:dyDescent="0.25">
      <c r="B89" s="30"/>
      <c r="C89" s="30"/>
      <c r="D89" s="30"/>
      <c r="E89" s="30"/>
      <c r="F89" s="30"/>
      <c r="G89" s="30"/>
      <c r="H89" s="30"/>
      <c r="I89" s="30"/>
      <c r="J89" s="30"/>
      <c r="K89" s="30"/>
      <c r="L89" s="30"/>
      <c r="M89" s="30"/>
    </row>
    <row r="90" spans="2:13" x14ac:dyDescent="0.25">
      <c r="B90" s="30"/>
      <c r="C90" s="30"/>
      <c r="D90" s="30"/>
      <c r="E90" s="30"/>
      <c r="F90" s="30"/>
      <c r="G90" s="30"/>
      <c r="H90" s="30"/>
      <c r="I90" s="30"/>
      <c r="J90" s="30"/>
      <c r="K90" s="30"/>
      <c r="L90" s="30"/>
      <c r="M90" s="30"/>
    </row>
    <row r="91" spans="2:13" x14ac:dyDescent="0.25">
      <c r="B91" s="30"/>
      <c r="C91" s="30"/>
      <c r="D91" s="30"/>
      <c r="E91" s="30"/>
      <c r="F91" s="30"/>
      <c r="G91" s="30"/>
      <c r="H91" s="30"/>
      <c r="I91" s="30"/>
      <c r="J91" s="30"/>
      <c r="K91" s="30"/>
      <c r="L91" s="30"/>
      <c r="M91" s="30"/>
    </row>
    <row r="92" spans="2:13" x14ac:dyDescent="0.25">
      <c r="B92" s="30"/>
      <c r="C92" s="30"/>
      <c r="D92" s="30"/>
      <c r="E92" s="30"/>
      <c r="F92" s="30"/>
      <c r="G92" s="30"/>
      <c r="H92" s="30"/>
      <c r="I92" s="30"/>
      <c r="J92" s="30"/>
      <c r="K92" s="30"/>
      <c r="L92" s="30"/>
      <c r="M92" s="30"/>
    </row>
    <row r="93" spans="2:13" x14ac:dyDescent="0.25">
      <c r="B93" s="30"/>
      <c r="C93" s="30"/>
      <c r="D93" s="30"/>
      <c r="E93" s="30"/>
      <c r="F93" s="30"/>
      <c r="G93" s="30"/>
      <c r="H93" s="30"/>
      <c r="I93" s="30"/>
      <c r="J93" s="30"/>
      <c r="K93" s="30"/>
      <c r="L93" s="30"/>
      <c r="M93" s="30"/>
    </row>
    <row r="94" spans="2:13" x14ac:dyDescent="0.25">
      <c r="B94" s="30"/>
      <c r="C94" s="30"/>
      <c r="D94" s="30"/>
      <c r="E94" s="30"/>
      <c r="F94" s="30"/>
      <c r="G94" s="30"/>
      <c r="H94" s="30"/>
      <c r="I94" s="30"/>
      <c r="J94" s="30"/>
      <c r="K94" s="30"/>
      <c r="L94" s="30"/>
      <c r="M94" s="30"/>
    </row>
    <row r="95" spans="2:13" x14ac:dyDescent="0.25">
      <c r="B95" s="30"/>
      <c r="C95" s="30"/>
      <c r="D95" s="30"/>
      <c r="E95" s="30"/>
      <c r="F95" s="30"/>
      <c r="G95" s="30"/>
      <c r="H95" s="30"/>
      <c r="I95" s="30"/>
      <c r="J95" s="30"/>
      <c r="K95" s="30"/>
      <c r="L95" s="30"/>
      <c r="M95" s="30"/>
    </row>
    <row r="96" spans="2:13" x14ac:dyDescent="0.25">
      <c r="B96" s="30"/>
      <c r="C96" s="30"/>
      <c r="D96" s="30"/>
      <c r="E96" s="30"/>
      <c r="F96" s="30"/>
      <c r="G96" s="30"/>
      <c r="H96" s="30"/>
      <c r="I96" s="30"/>
      <c r="J96" s="30"/>
      <c r="K96" s="30"/>
      <c r="L96" s="30"/>
      <c r="M96" s="30"/>
    </row>
    <row r="97" spans="2:13" x14ac:dyDescent="0.25">
      <c r="B97" s="30"/>
      <c r="C97" s="30"/>
      <c r="D97" s="30"/>
      <c r="E97" s="30"/>
      <c r="F97" s="30"/>
      <c r="G97" s="30"/>
      <c r="H97" s="30"/>
      <c r="I97" s="30"/>
      <c r="J97" s="30"/>
      <c r="K97" s="30"/>
      <c r="L97" s="30"/>
      <c r="M97" s="30"/>
    </row>
    <row r="98" spans="2:13" x14ac:dyDescent="0.25">
      <c r="B98" s="30"/>
      <c r="C98" s="30"/>
      <c r="D98" s="30"/>
      <c r="E98" s="30"/>
      <c r="F98" s="30"/>
      <c r="G98" s="30"/>
      <c r="H98" s="30"/>
      <c r="I98" s="30"/>
      <c r="J98" s="30"/>
      <c r="K98" s="30"/>
      <c r="L98" s="30"/>
      <c r="M98" s="30"/>
    </row>
    <row r="99" spans="2:13" x14ac:dyDescent="0.25">
      <c r="B99" s="30"/>
      <c r="C99" s="30"/>
      <c r="D99" s="30"/>
      <c r="E99" s="30"/>
      <c r="F99" s="30"/>
      <c r="G99" s="30"/>
      <c r="H99" s="30"/>
      <c r="I99" s="30"/>
      <c r="J99" s="30"/>
      <c r="K99" s="30"/>
      <c r="L99" s="30"/>
      <c r="M99" s="30"/>
    </row>
    <row r="100" spans="2:13" x14ac:dyDescent="0.25">
      <c r="B100" s="30"/>
      <c r="C100" s="30"/>
      <c r="D100" s="30"/>
      <c r="E100" s="30"/>
      <c r="F100" s="30"/>
      <c r="G100" s="30"/>
      <c r="H100" s="30"/>
      <c r="I100" s="30"/>
      <c r="J100" s="30"/>
      <c r="K100" s="30"/>
      <c r="L100" s="30"/>
      <c r="M100" s="30"/>
    </row>
    <row r="101" spans="2:13" x14ac:dyDescent="0.25">
      <c r="B101" s="30"/>
      <c r="C101" s="30"/>
      <c r="D101" s="30"/>
      <c r="E101" s="30"/>
      <c r="F101" s="30"/>
      <c r="G101" s="30"/>
      <c r="H101" s="30"/>
      <c r="I101" s="30"/>
      <c r="J101" s="30"/>
      <c r="K101" s="30"/>
      <c r="L101" s="30"/>
      <c r="M101" s="30"/>
    </row>
    <row r="102" spans="2:13" x14ac:dyDescent="0.25">
      <c r="B102" s="30"/>
      <c r="C102" s="30"/>
      <c r="D102" s="30"/>
      <c r="E102" s="30"/>
      <c r="F102" s="30"/>
      <c r="G102" s="30"/>
      <c r="H102" s="30"/>
      <c r="I102" s="30"/>
      <c r="J102" s="30"/>
      <c r="K102" s="30"/>
      <c r="L102" s="30"/>
      <c r="M102" s="30"/>
    </row>
    <row r="103" spans="2:13" x14ac:dyDescent="0.25">
      <c r="B103" s="30"/>
      <c r="C103" s="30"/>
      <c r="D103" s="30"/>
      <c r="E103" s="30"/>
      <c r="F103" s="30"/>
      <c r="G103" s="30"/>
      <c r="H103" s="30"/>
      <c r="I103" s="30"/>
      <c r="J103" s="30"/>
      <c r="K103" s="30"/>
      <c r="L103" s="30"/>
      <c r="M103" s="30"/>
    </row>
    <row r="104" spans="2:13" x14ac:dyDescent="0.25">
      <c r="B104" s="30"/>
      <c r="C104" s="30"/>
      <c r="D104" s="30"/>
      <c r="E104" s="30"/>
      <c r="F104" s="30"/>
      <c r="G104" s="30"/>
      <c r="H104" s="30"/>
      <c r="I104" s="30"/>
      <c r="J104" s="30"/>
      <c r="K104" s="30"/>
      <c r="L104" s="30"/>
      <c r="M104" s="30"/>
    </row>
    <row r="105" spans="2:13" x14ac:dyDescent="0.25">
      <c r="B105" s="30"/>
      <c r="C105" s="30"/>
      <c r="D105" s="30"/>
      <c r="E105" s="30"/>
      <c r="F105" s="30"/>
      <c r="G105" s="30"/>
      <c r="H105" s="30"/>
      <c r="I105" s="30"/>
      <c r="J105" s="30"/>
      <c r="K105" s="30"/>
      <c r="L105" s="30"/>
      <c r="M105" s="30"/>
    </row>
    <row r="106" spans="2:13" x14ac:dyDescent="0.25">
      <c r="B106" s="30"/>
      <c r="C106" s="30"/>
      <c r="D106" s="30"/>
      <c r="E106" s="30"/>
      <c r="F106" s="30"/>
      <c r="G106" s="30"/>
      <c r="H106" s="30"/>
      <c r="I106" s="30"/>
      <c r="J106" s="30"/>
      <c r="K106" s="30"/>
      <c r="L106" s="30"/>
      <c r="M106" s="30"/>
    </row>
    <row r="107" spans="2:13" x14ac:dyDescent="0.25">
      <c r="B107" s="30"/>
      <c r="C107" s="30"/>
      <c r="D107" s="30"/>
      <c r="E107" s="30"/>
      <c r="F107" s="30"/>
      <c r="G107" s="30"/>
      <c r="H107" s="30"/>
      <c r="I107" s="30"/>
      <c r="J107" s="30"/>
      <c r="K107" s="30"/>
      <c r="L107" s="30"/>
      <c r="M107" s="30"/>
    </row>
    <row r="108" spans="2:13" x14ac:dyDescent="0.25">
      <c r="B108" s="30"/>
      <c r="C108" s="30"/>
      <c r="D108" s="30"/>
      <c r="E108" s="30"/>
      <c r="F108" s="30"/>
      <c r="G108" s="30"/>
      <c r="H108" s="30"/>
      <c r="I108" s="30"/>
      <c r="J108" s="30"/>
      <c r="K108" s="30"/>
      <c r="L108" s="30"/>
      <c r="M108" s="30"/>
    </row>
    <row r="109" spans="2:13" x14ac:dyDescent="0.25">
      <c r="B109" s="30"/>
      <c r="C109" s="30"/>
      <c r="D109" s="30"/>
      <c r="E109" s="30"/>
      <c r="F109" s="30"/>
      <c r="G109" s="30"/>
      <c r="H109" s="30"/>
      <c r="I109" s="30"/>
      <c r="J109" s="30"/>
      <c r="K109" s="30"/>
      <c r="L109" s="30"/>
      <c r="M109" s="30"/>
    </row>
    <row r="110" spans="2:13" x14ac:dyDescent="0.25">
      <c r="B110" s="30"/>
      <c r="C110" s="30"/>
      <c r="D110" s="30"/>
      <c r="E110" s="30"/>
      <c r="F110" s="30"/>
      <c r="G110" s="30"/>
      <c r="H110" s="30"/>
      <c r="I110" s="30"/>
      <c r="J110" s="30"/>
      <c r="K110" s="30"/>
      <c r="L110" s="30"/>
      <c r="M110" s="30"/>
    </row>
    <row r="111" spans="2:13" x14ac:dyDescent="0.25">
      <c r="B111" s="30"/>
      <c r="C111" s="30"/>
      <c r="D111" s="30"/>
      <c r="E111" s="30"/>
      <c r="F111" s="30"/>
      <c r="G111" s="30"/>
      <c r="H111" s="30"/>
      <c r="I111" s="30"/>
      <c r="J111" s="30"/>
      <c r="K111" s="30"/>
      <c r="L111" s="30"/>
      <c r="M111" s="30"/>
    </row>
    <row r="112" spans="2:13" x14ac:dyDescent="0.25">
      <c r="B112" s="30"/>
      <c r="C112" s="30"/>
      <c r="D112" s="30"/>
      <c r="E112" s="30"/>
      <c r="F112" s="30"/>
      <c r="G112" s="30"/>
      <c r="H112" s="30"/>
      <c r="I112" s="30"/>
      <c r="J112" s="30"/>
      <c r="K112" s="30"/>
      <c r="L112" s="30"/>
      <c r="M112" s="30"/>
    </row>
    <row r="113" spans="2:13" x14ac:dyDescent="0.25">
      <c r="B113" s="30"/>
      <c r="C113" s="30"/>
      <c r="D113" s="30"/>
      <c r="E113" s="30"/>
      <c r="F113" s="30"/>
      <c r="G113" s="30"/>
      <c r="H113" s="30"/>
      <c r="I113" s="30"/>
      <c r="J113" s="30"/>
      <c r="K113" s="30"/>
      <c r="L113" s="30"/>
      <c r="M113" s="30"/>
    </row>
    <row r="114" spans="2:13" x14ac:dyDescent="0.25">
      <c r="B114" s="30"/>
      <c r="C114" s="30"/>
      <c r="D114" s="30"/>
      <c r="E114" s="30"/>
      <c r="F114" s="30"/>
      <c r="G114" s="30"/>
      <c r="H114" s="30"/>
      <c r="I114" s="30"/>
      <c r="J114" s="30"/>
      <c r="K114" s="30"/>
      <c r="L114" s="30"/>
      <c r="M114" s="30"/>
    </row>
    <row r="115" spans="2:13" x14ac:dyDescent="0.25">
      <c r="B115" s="30"/>
      <c r="C115" s="30"/>
      <c r="D115" s="30"/>
      <c r="E115" s="30"/>
      <c r="F115" s="30"/>
      <c r="G115" s="30"/>
      <c r="H115" s="30"/>
      <c r="I115" s="30"/>
      <c r="J115" s="30"/>
      <c r="K115" s="30"/>
      <c r="L115" s="30"/>
      <c r="M115" s="30"/>
    </row>
    <row r="116" spans="2:13" x14ac:dyDescent="0.25">
      <c r="B116" s="30"/>
      <c r="C116" s="30"/>
      <c r="D116" s="30"/>
      <c r="E116" s="30"/>
      <c r="F116" s="30"/>
      <c r="G116" s="30"/>
      <c r="H116" s="30"/>
      <c r="I116" s="30"/>
      <c r="J116" s="30"/>
      <c r="K116" s="30"/>
      <c r="L116" s="30"/>
      <c r="M116" s="30"/>
    </row>
    <row r="117" spans="2:13" x14ac:dyDescent="0.25">
      <c r="B117" s="30"/>
      <c r="C117" s="30"/>
      <c r="D117" s="30"/>
      <c r="E117" s="30"/>
      <c r="F117" s="30"/>
      <c r="G117" s="30"/>
      <c r="H117" s="30"/>
      <c r="I117" s="30"/>
      <c r="J117" s="30"/>
      <c r="K117" s="30"/>
      <c r="L117" s="30"/>
      <c r="M117" s="30"/>
    </row>
    <row r="118" spans="2:13" x14ac:dyDescent="0.25">
      <c r="B118" s="30"/>
      <c r="C118" s="30"/>
      <c r="D118" s="30"/>
      <c r="E118" s="30"/>
      <c r="F118" s="30"/>
      <c r="G118" s="30"/>
      <c r="H118" s="30"/>
      <c r="I118" s="30"/>
      <c r="J118" s="30"/>
      <c r="K118" s="30"/>
      <c r="L118" s="30"/>
      <c r="M118" s="30"/>
    </row>
    <row r="119" spans="2:13" x14ac:dyDescent="0.25">
      <c r="B119" s="30"/>
      <c r="C119" s="30"/>
      <c r="D119" s="30"/>
      <c r="E119" s="30"/>
      <c r="F119" s="30"/>
      <c r="G119" s="30"/>
      <c r="H119" s="30"/>
      <c r="I119" s="30"/>
      <c r="J119" s="30"/>
      <c r="K119" s="30"/>
      <c r="L119" s="30"/>
      <c r="M119" s="30"/>
    </row>
    <row r="120" spans="2:13" x14ac:dyDescent="0.25">
      <c r="B120" s="30"/>
      <c r="C120" s="30"/>
      <c r="D120" s="30"/>
      <c r="E120" s="30"/>
      <c r="F120" s="30"/>
      <c r="G120" s="30"/>
      <c r="H120" s="30"/>
      <c r="I120" s="30"/>
      <c r="J120" s="30"/>
      <c r="K120" s="30"/>
      <c r="L120" s="30"/>
      <c r="M120" s="30"/>
    </row>
    <row r="121" spans="2:13" x14ac:dyDescent="0.25">
      <c r="B121" s="30"/>
      <c r="C121" s="30"/>
      <c r="D121" s="30"/>
      <c r="E121" s="30"/>
      <c r="F121" s="30"/>
      <c r="G121" s="30"/>
      <c r="H121" s="30"/>
      <c r="I121" s="30"/>
      <c r="J121" s="30"/>
      <c r="K121" s="30"/>
      <c r="L121" s="30"/>
      <c r="M121" s="30"/>
    </row>
  </sheetData>
  <sheetProtection algorithmName="SHA-512" hashValue="BrABgYSmbwjp/4VPJ/iPnFYwYRvSOcqp0hSqsc4FExSjbAlb1bTOq88CtE+4uOWIi3wdjBx9TSS8Joj/wXRBtA==" saltValue="HR+NH54K68TtnZtuTyLeFg==" spinCount="100000" sheet="1" objects="1" scenarios="1" selectLockedCells="1" selectUnlockedCells="1"/>
  <mergeCells count="6">
    <mergeCell ref="B36:M36"/>
    <mergeCell ref="B3:N5"/>
    <mergeCell ref="B7:M7"/>
    <mergeCell ref="B8:M8"/>
    <mergeCell ref="B34:M34"/>
    <mergeCell ref="B35:M3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3D2F3-D0FA-409F-8129-1CA6C0E2CA7A}">
  <dimension ref="A3:AE96"/>
  <sheetViews>
    <sheetView showRowColHeaders="0" zoomScaleNormal="100" workbookViewId="0">
      <selection activeCell="B6" sqref="B6:M6"/>
    </sheetView>
  </sheetViews>
  <sheetFormatPr defaultColWidth="9.140625" defaultRowHeight="15" x14ac:dyDescent="0.25"/>
  <cols>
    <col min="1" max="13" width="9.140625" style="127"/>
    <col min="14" max="14" width="1.7109375" style="127" customWidth="1"/>
    <col min="15" max="26" width="9.140625" style="127"/>
    <col min="27" max="27" width="0.42578125" style="127" customWidth="1"/>
    <col min="28" max="29" width="9.140625" style="127" hidden="1" customWidth="1"/>
    <col min="30" max="30" width="8.5703125" style="127" hidden="1" customWidth="1"/>
    <col min="31" max="31" width="0.42578125" style="127" customWidth="1"/>
    <col min="32" max="16384" width="9.140625" style="127"/>
  </cols>
  <sheetData>
    <row r="3" spans="1:31" ht="15.75" customHeight="1" x14ac:dyDescent="0.25">
      <c r="A3" s="193"/>
      <c r="B3" s="236" t="s">
        <v>7</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row>
    <row r="4" spans="1:31" ht="15" customHeight="1" x14ac:dyDescent="0.25">
      <c r="A4" s="193"/>
      <c r="B4" s="236"/>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row>
    <row r="5" spans="1:31" ht="8.25" customHeight="1" x14ac:dyDescent="0.25">
      <c r="B5" s="122"/>
      <c r="C5" s="1"/>
      <c r="D5" s="1"/>
      <c r="E5" s="1"/>
      <c r="F5" s="1"/>
      <c r="G5" s="1"/>
      <c r="H5" s="1"/>
      <c r="I5" s="1"/>
      <c r="J5" s="1"/>
      <c r="K5" s="1"/>
      <c r="L5" s="1"/>
      <c r="M5" s="1"/>
      <c r="N5" s="112"/>
    </row>
    <row r="6" spans="1:31" ht="30" customHeight="1" x14ac:dyDescent="0.25">
      <c r="B6" s="228" t="s">
        <v>8</v>
      </c>
      <c r="C6" s="229"/>
      <c r="D6" s="229"/>
      <c r="E6" s="229"/>
      <c r="F6" s="229"/>
      <c r="G6" s="229"/>
      <c r="H6" s="229"/>
      <c r="I6" s="229"/>
      <c r="J6" s="229"/>
      <c r="K6" s="229"/>
      <c r="L6" s="229"/>
      <c r="M6" s="229"/>
      <c r="N6" s="112"/>
    </row>
    <row r="7" spans="1:31" ht="42.75" customHeight="1" x14ac:dyDescent="0.25">
      <c r="B7" s="232" t="s">
        <v>9</v>
      </c>
      <c r="C7" s="233"/>
      <c r="D7" s="233"/>
      <c r="E7" s="233"/>
      <c r="F7" s="233"/>
      <c r="G7" s="233"/>
      <c r="H7" s="233"/>
      <c r="I7" s="233"/>
      <c r="J7" s="233"/>
      <c r="K7" s="233"/>
      <c r="L7" s="233"/>
      <c r="M7" s="233"/>
      <c r="N7" s="112"/>
    </row>
    <row r="8" spans="1:31" ht="60.75" customHeight="1" x14ac:dyDescent="0.25">
      <c r="B8" s="232" t="s">
        <v>10</v>
      </c>
      <c r="C8" s="233"/>
      <c r="D8" s="233"/>
      <c r="E8" s="233"/>
      <c r="F8" s="233"/>
      <c r="G8" s="233"/>
      <c r="H8" s="233"/>
      <c r="I8" s="233"/>
      <c r="J8" s="233"/>
      <c r="K8" s="233"/>
      <c r="L8" s="233"/>
      <c r="M8" s="233"/>
      <c r="N8" s="112"/>
    </row>
    <row r="9" spans="1:31" ht="34.5" customHeight="1" x14ac:dyDescent="0.25">
      <c r="B9" s="232" t="s">
        <v>11</v>
      </c>
      <c r="C9" s="233"/>
      <c r="D9" s="233"/>
      <c r="E9" s="233"/>
      <c r="F9" s="233"/>
      <c r="G9" s="233"/>
      <c r="H9" s="233"/>
      <c r="I9" s="233"/>
      <c r="J9" s="233"/>
      <c r="K9" s="233"/>
      <c r="L9" s="233"/>
      <c r="M9" s="233"/>
      <c r="N9" s="112"/>
    </row>
    <row r="10" spans="1:31" ht="19.5" customHeight="1" x14ac:dyDescent="0.25">
      <c r="B10" s="232" t="s">
        <v>12</v>
      </c>
      <c r="C10" s="233"/>
      <c r="D10" s="233"/>
      <c r="E10" s="233"/>
      <c r="F10" s="233"/>
      <c r="G10" s="233"/>
      <c r="H10" s="233"/>
      <c r="I10" s="233"/>
      <c r="J10" s="233"/>
      <c r="K10" s="233"/>
      <c r="L10" s="233"/>
      <c r="M10" s="233"/>
      <c r="N10" s="112"/>
    </row>
    <row r="11" spans="1:31" ht="75.75" customHeight="1" x14ac:dyDescent="0.25">
      <c r="B11" s="232" t="s">
        <v>13</v>
      </c>
      <c r="C11" s="233"/>
      <c r="D11" s="233"/>
      <c r="E11" s="233"/>
      <c r="F11" s="233"/>
      <c r="G11" s="233"/>
      <c r="H11" s="233"/>
      <c r="I11" s="233"/>
      <c r="J11" s="233"/>
      <c r="K11" s="233"/>
      <c r="L11" s="233"/>
      <c r="M11" s="233"/>
      <c r="N11" s="112"/>
    </row>
    <row r="12" spans="1:31" ht="77.25" customHeight="1" x14ac:dyDescent="0.25">
      <c r="B12" s="232" t="s">
        <v>14</v>
      </c>
      <c r="C12" s="233"/>
      <c r="D12" s="233"/>
      <c r="E12" s="233"/>
      <c r="F12" s="233"/>
      <c r="G12" s="233"/>
      <c r="H12" s="233"/>
      <c r="I12" s="233"/>
      <c r="J12" s="233"/>
      <c r="K12" s="233"/>
      <c r="L12" s="233"/>
      <c r="M12" s="233"/>
      <c r="N12" s="112"/>
    </row>
    <row r="13" spans="1:31" ht="49.5" customHeight="1" thickBot="1" x14ac:dyDescent="0.3">
      <c r="B13" s="234" t="s">
        <v>15</v>
      </c>
      <c r="C13" s="235"/>
      <c r="D13" s="235"/>
      <c r="E13" s="235"/>
      <c r="F13" s="235"/>
      <c r="G13" s="235"/>
      <c r="H13" s="235"/>
      <c r="I13" s="235"/>
      <c r="J13" s="235"/>
      <c r="K13" s="235"/>
      <c r="L13" s="235"/>
      <c r="M13" s="235"/>
      <c r="N13" s="126"/>
    </row>
    <row r="14" spans="1:31" ht="15.75" thickTop="1" x14ac:dyDescent="0.25">
      <c r="B14" s="30"/>
      <c r="C14" s="30"/>
      <c r="D14" s="30"/>
      <c r="E14" s="30"/>
      <c r="F14" s="30"/>
      <c r="G14" s="30"/>
      <c r="H14" s="30"/>
      <c r="I14" s="30"/>
      <c r="J14" s="30"/>
      <c r="K14" s="30"/>
      <c r="L14" s="30"/>
      <c r="M14" s="30"/>
    </row>
    <row r="15" spans="1:31" x14ac:dyDescent="0.25">
      <c r="B15" s="30"/>
      <c r="C15" s="30"/>
      <c r="D15" s="30"/>
      <c r="E15" s="30"/>
      <c r="F15" s="30"/>
      <c r="G15" s="30"/>
      <c r="H15" s="30"/>
      <c r="I15" s="30"/>
      <c r="J15" s="30"/>
      <c r="K15" s="30"/>
      <c r="L15" s="30"/>
      <c r="M15" s="30"/>
    </row>
    <row r="16" spans="1:31" x14ac:dyDescent="0.25">
      <c r="B16" s="30"/>
      <c r="C16" s="30"/>
      <c r="D16" s="30"/>
      <c r="E16" s="30"/>
      <c r="F16" s="30"/>
      <c r="G16" s="30"/>
      <c r="H16" s="30"/>
      <c r="I16" s="30"/>
      <c r="J16" s="30"/>
      <c r="K16" s="30"/>
      <c r="L16" s="30"/>
      <c r="M16" s="30"/>
    </row>
    <row r="17" spans="2:13" x14ac:dyDescent="0.25">
      <c r="B17" s="30"/>
      <c r="C17" s="30"/>
      <c r="D17" s="30"/>
      <c r="E17" s="30"/>
      <c r="F17" s="30"/>
      <c r="G17" s="30"/>
      <c r="H17" s="30"/>
      <c r="I17" s="30"/>
      <c r="J17" s="30"/>
      <c r="K17" s="30"/>
      <c r="L17" s="30"/>
      <c r="M17" s="30"/>
    </row>
    <row r="18" spans="2:13" x14ac:dyDescent="0.25">
      <c r="B18" s="30"/>
      <c r="C18" s="30"/>
      <c r="D18" s="30"/>
      <c r="E18" s="30"/>
      <c r="F18" s="30"/>
      <c r="G18" s="30"/>
      <c r="H18" s="30"/>
      <c r="I18" s="30"/>
      <c r="J18" s="30"/>
      <c r="K18" s="30"/>
      <c r="L18" s="30"/>
      <c r="M18" s="30"/>
    </row>
    <row r="19" spans="2:13" x14ac:dyDescent="0.25">
      <c r="B19" s="30"/>
      <c r="C19" s="30"/>
      <c r="D19" s="30"/>
      <c r="E19" s="30"/>
      <c r="F19" s="30"/>
      <c r="G19" s="30"/>
      <c r="H19" s="30"/>
      <c r="I19" s="30"/>
      <c r="J19" s="30"/>
      <c r="K19" s="30"/>
      <c r="L19" s="30"/>
      <c r="M19" s="30"/>
    </row>
    <row r="20" spans="2:13" x14ac:dyDescent="0.25">
      <c r="B20" s="30"/>
      <c r="C20" s="30"/>
      <c r="D20" s="30"/>
      <c r="E20" s="30"/>
      <c r="F20" s="30"/>
      <c r="G20" s="30"/>
      <c r="H20" s="30"/>
      <c r="I20" s="30"/>
      <c r="J20" s="30"/>
      <c r="K20" s="30"/>
      <c r="L20" s="30"/>
      <c r="M20" s="30"/>
    </row>
    <row r="21" spans="2:13" x14ac:dyDescent="0.25">
      <c r="B21" s="30"/>
      <c r="C21" s="30"/>
      <c r="D21" s="30"/>
      <c r="E21" s="30"/>
      <c r="F21" s="30"/>
      <c r="G21" s="30"/>
      <c r="H21" s="30"/>
      <c r="I21" s="30"/>
      <c r="J21" s="30"/>
      <c r="K21" s="30"/>
      <c r="L21" s="30"/>
      <c r="M21" s="30"/>
    </row>
    <row r="22" spans="2:13" x14ac:dyDescent="0.25">
      <c r="B22" s="30"/>
      <c r="C22" s="30"/>
      <c r="D22" s="30"/>
      <c r="E22" s="30"/>
      <c r="F22" s="30"/>
      <c r="G22" s="30"/>
      <c r="H22" s="30"/>
      <c r="I22" s="30"/>
      <c r="J22" s="30"/>
      <c r="K22" s="30"/>
      <c r="L22" s="30"/>
      <c r="M22" s="30"/>
    </row>
    <row r="23" spans="2:13" x14ac:dyDescent="0.25">
      <c r="B23" s="30"/>
      <c r="C23" s="30"/>
      <c r="D23" s="30"/>
      <c r="E23" s="30"/>
      <c r="F23" s="30"/>
      <c r="G23" s="30"/>
      <c r="H23" s="30"/>
      <c r="I23" s="30"/>
      <c r="J23" s="30"/>
      <c r="K23" s="30"/>
      <c r="L23" s="30"/>
      <c r="M23" s="30"/>
    </row>
    <row r="24" spans="2:13" x14ac:dyDescent="0.25">
      <c r="B24" s="30"/>
      <c r="C24" s="30"/>
      <c r="D24" s="30"/>
      <c r="E24" s="30"/>
      <c r="F24" s="30"/>
      <c r="G24" s="30"/>
      <c r="H24" s="30"/>
      <c r="I24" s="30"/>
      <c r="J24" s="30"/>
      <c r="K24" s="30"/>
      <c r="L24" s="30"/>
      <c r="M24" s="30"/>
    </row>
    <row r="25" spans="2:13" x14ac:dyDescent="0.25">
      <c r="B25" s="30"/>
      <c r="C25" s="30"/>
      <c r="D25" s="30"/>
      <c r="E25" s="30"/>
      <c r="F25" s="30"/>
      <c r="G25" s="30"/>
      <c r="H25" s="30"/>
      <c r="I25" s="30"/>
      <c r="J25" s="30"/>
      <c r="K25" s="30"/>
      <c r="L25" s="30"/>
      <c r="M25" s="30"/>
    </row>
    <row r="26" spans="2:13" x14ac:dyDescent="0.25">
      <c r="B26" s="30"/>
      <c r="C26" s="30"/>
      <c r="D26" s="30"/>
      <c r="E26" s="30"/>
      <c r="F26" s="30"/>
      <c r="G26" s="30"/>
      <c r="H26" s="30"/>
      <c r="I26" s="30"/>
      <c r="J26" s="30"/>
      <c r="K26" s="30"/>
      <c r="L26" s="30"/>
      <c r="M26" s="30"/>
    </row>
    <row r="27" spans="2:13" x14ac:dyDescent="0.25">
      <c r="B27" s="30"/>
      <c r="C27" s="30"/>
      <c r="D27" s="30"/>
      <c r="E27" s="30"/>
      <c r="F27" s="30"/>
      <c r="G27" s="30"/>
      <c r="H27" s="30"/>
      <c r="I27" s="30"/>
      <c r="J27" s="30"/>
      <c r="K27" s="30"/>
      <c r="L27" s="30"/>
      <c r="M27" s="30"/>
    </row>
    <row r="28" spans="2:13" x14ac:dyDescent="0.25">
      <c r="B28" s="30"/>
      <c r="C28" s="30"/>
      <c r="D28" s="30"/>
      <c r="E28" s="30"/>
      <c r="F28" s="30"/>
      <c r="G28" s="30"/>
      <c r="H28" s="30"/>
      <c r="I28" s="30"/>
      <c r="J28" s="30"/>
      <c r="K28" s="30"/>
      <c r="L28" s="30"/>
      <c r="M28" s="30"/>
    </row>
    <row r="29" spans="2:13" x14ac:dyDescent="0.25">
      <c r="B29" s="30"/>
      <c r="C29" s="30"/>
      <c r="D29" s="30"/>
      <c r="E29" s="30"/>
      <c r="F29" s="30"/>
      <c r="G29" s="30"/>
      <c r="H29" s="30"/>
      <c r="I29" s="30"/>
      <c r="J29" s="30"/>
      <c r="K29" s="30"/>
      <c r="L29" s="30"/>
      <c r="M29" s="30"/>
    </row>
    <row r="30" spans="2:13" x14ac:dyDescent="0.25">
      <c r="B30" s="30"/>
      <c r="C30" s="30"/>
      <c r="D30" s="30"/>
      <c r="E30" s="30"/>
      <c r="F30" s="30"/>
      <c r="G30" s="30"/>
      <c r="H30" s="30"/>
      <c r="I30" s="30"/>
      <c r="J30" s="30"/>
      <c r="K30" s="30"/>
      <c r="L30" s="30"/>
      <c r="M30" s="30"/>
    </row>
    <row r="31" spans="2:13" x14ac:dyDescent="0.25">
      <c r="B31" s="30"/>
      <c r="C31" s="30"/>
      <c r="D31" s="30"/>
      <c r="E31" s="30"/>
      <c r="F31" s="30"/>
      <c r="G31" s="30"/>
      <c r="H31" s="30"/>
      <c r="I31" s="30"/>
      <c r="J31" s="30"/>
      <c r="K31" s="30"/>
      <c r="L31" s="30"/>
      <c r="M31" s="30"/>
    </row>
    <row r="32" spans="2:13" x14ac:dyDescent="0.25">
      <c r="B32" s="30"/>
      <c r="C32" s="30"/>
      <c r="D32" s="30"/>
      <c r="E32" s="30"/>
      <c r="F32" s="30"/>
      <c r="G32" s="30"/>
      <c r="H32" s="30"/>
      <c r="I32" s="30"/>
      <c r="J32" s="30"/>
      <c r="K32" s="30"/>
      <c r="L32" s="30"/>
      <c r="M32" s="30"/>
    </row>
    <row r="33" spans="2:13" x14ac:dyDescent="0.25">
      <c r="B33" s="30"/>
      <c r="C33" s="30"/>
      <c r="D33" s="30"/>
      <c r="E33" s="30"/>
      <c r="F33" s="30"/>
      <c r="G33" s="30"/>
      <c r="H33" s="30"/>
      <c r="I33" s="30"/>
      <c r="J33" s="30"/>
      <c r="K33" s="30"/>
      <c r="L33" s="30"/>
      <c r="M33" s="30"/>
    </row>
    <row r="34" spans="2:13" x14ac:dyDescent="0.25">
      <c r="B34" s="30"/>
      <c r="C34" s="30"/>
      <c r="D34" s="30"/>
      <c r="E34" s="30"/>
      <c r="F34" s="30"/>
      <c r="G34" s="30"/>
      <c r="H34" s="30"/>
      <c r="I34" s="30"/>
      <c r="J34" s="30"/>
      <c r="K34" s="30"/>
      <c r="L34" s="30"/>
      <c r="M34" s="30"/>
    </row>
    <row r="35" spans="2:13" x14ac:dyDescent="0.25">
      <c r="B35" s="30"/>
      <c r="C35" s="30"/>
      <c r="D35" s="30"/>
      <c r="E35" s="30"/>
      <c r="F35" s="30"/>
      <c r="G35" s="30"/>
      <c r="H35" s="30"/>
      <c r="I35" s="30"/>
      <c r="J35" s="30"/>
      <c r="K35" s="30"/>
      <c r="L35" s="30"/>
      <c r="M35" s="30"/>
    </row>
    <row r="36" spans="2:13" x14ac:dyDescent="0.25">
      <c r="B36" s="30"/>
      <c r="C36" s="30"/>
      <c r="D36" s="30"/>
      <c r="E36" s="30"/>
      <c r="F36" s="30"/>
      <c r="G36" s="30"/>
      <c r="H36" s="30"/>
      <c r="I36" s="30"/>
      <c r="J36" s="30"/>
      <c r="K36" s="30"/>
      <c r="L36" s="30"/>
      <c r="M36" s="30"/>
    </row>
    <row r="37" spans="2:13" x14ac:dyDescent="0.25">
      <c r="B37" s="30"/>
      <c r="C37" s="30"/>
      <c r="D37" s="30"/>
      <c r="E37" s="30"/>
      <c r="F37" s="30"/>
      <c r="G37" s="30"/>
      <c r="H37" s="30"/>
      <c r="I37" s="30"/>
      <c r="J37" s="30"/>
      <c r="K37" s="30"/>
      <c r="L37" s="30"/>
      <c r="M37" s="30"/>
    </row>
    <row r="38" spans="2:13" x14ac:dyDescent="0.25">
      <c r="B38" s="30"/>
      <c r="C38" s="30"/>
      <c r="D38" s="30"/>
      <c r="E38" s="30"/>
      <c r="F38" s="30"/>
      <c r="G38" s="30"/>
      <c r="H38" s="30"/>
      <c r="I38" s="30"/>
      <c r="J38" s="30"/>
      <c r="K38" s="30"/>
      <c r="L38" s="30"/>
      <c r="M38" s="30"/>
    </row>
    <row r="39" spans="2:13" x14ac:dyDescent="0.25">
      <c r="B39" s="30"/>
      <c r="C39" s="30"/>
      <c r="D39" s="30"/>
      <c r="E39" s="30"/>
      <c r="F39" s="30"/>
      <c r="G39" s="30"/>
      <c r="H39" s="30"/>
      <c r="I39" s="30"/>
      <c r="J39" s="30"/>
      <c r="K39" s="30"/>
      <c r="L39" s="30"/>
      <c r="M39" s="30"/>
    </row>
    <row r="40" spans="2:13" x14ac:dyDescent="0.25">
      <c r="B40" s="30"/>
      <c r="C40" s="30"/>
      <c r="D40" s="30"/>
      <c r="E40" s="30"/>
      <c r="F40" s="30"/>
      <c r="G40" s="30"/>
      <c r="H40" s="30"/>
      <c r="I40" s="30"/>
      <c r="J40" s="30"/>
      <c r="K40" s="30"/>
      <c r="L40" s="30"/>
      <c r="M40" s="30"/>
    </row>
    <row r="41" spans="2:13" x14ac:dyDescent="0.25">
      <c r="B41" s="30"/>
      <c r="C41" s="30"/>
      <c r="D41" s="30"/>
      <c r="E41" s="30"/>
      <c r="F41" s="30"/>
      <c r="G41" s="30"/>
      <c r="H41" s="30"/>
      <c r="I41" s="30"/>
      <c r="J41" s="30"/>
      <c r="K41" s="30"/>
      <c r="L41" s="30"/>
      <c r="M41" s="30"/>
    </row>
    <row r="42" spans="2:13" x14ac:dyDescent="0.25">
      <c r="B42" s="30"/>
      <c r="C42" s="30"/>
      <c r="D42" s="30"/>
      <c r="E42" s="30"/>
      <c r="F42" s="30"/>
      <c r="G42" s="30"/>
      <c r="H42" s="30"/>
      <c r="I42" s="30"/>
      <c r="J42" s="30"/>
      <c r="K42" s="30"/>
      <c r="L42" s="30"/>
      <c r="M42" s="30"/>
    </row>
    <row r="43" spans="2:13" x14ac:dyDescent="0.25">
      <c r="B43" s="30"/>
      <c r="C43" s="30"/>
      <c r="D43" s="30"/>
      <c r="E43" s="30"/>
      <c r="F43" s="30"/>
      <c r="G43" s="30"/>
      <c r="H43" s="30"/>
      <c r="I43" s="30"/>
      <c r="J43" s="30"/>
      <c r="K43" s="30"/>
      <c r="L43" s="30"/>
      <c r="M43" s="30"/>
    </row>
    <row r="44" spans="2:13" x14ac:dyDescent="0.25">
      <c r="B44" s="30"/>
      <c r="C44" s="30"/>
      <c r="D44" s="30"/>
      <c r="E44" s="30"/>
      <c r="F44" s="30"/>
      <c r="G44" s="30"/>
      <c r="H44" s="30"/>
      <c r="I44" s="30"/>
      <c r="J44" s="30"/>
      <c r="K44" s="30"/>
      <c r="L44" s="30"/>
      <c r="M44" s="30"/>
    </row>
    <row r="45" spans="2:13" x14ac:dyDescent="0.25">
      <c r="B45" s="30"/>
      <c r="C45" s="30"/>
      <c r="D45" s="30"/>
      <c r="E45" s="30"/>
      <c r="F45" s="30"/>
      <c r="G45" s="30"/>
      <c r="H45" s="30"/>
      <c r="I45" s="30"/>
      <c r="J45" s="30"/>
      <c r="K45" s="30"/>
      <c r="L45" s="30"/>
      <c r="M45" s="30"/>
    </row>
    <row r="46" spans="2:13" x14ac:dyDescent="0.25">
      <c r="B46" s="30"/>
      <c r="C46" s="30"/>
      <c r="D46" s="30"/>
      <c r="E46" s="30"/>
      <c r="F46" s="30"/>
      <c r="G46" s="30"/>
      <c r="H46" s="30"/>
      <c r="I46" s="30"/>
      <c r="J46" s="30"/>
      <c r="K46" s="30"/>
      <c r="L46" s="30"/>
      <c r="M46" s="30"/>
    </row>
    <row r="47" spans="2:13" x14ac:dyDescent="0.25">
      <c r="B47" s="30"/>
      <c r="C47" s="30"/>
      <c r="D47" s="30"/>
      <c r="E47" s="30"/>
      <c r="F47" s="30"/>
      <c r="G47" s="30"/>
      <c r="H47" s="30"/>
      <c r="I47" s="30"/>
      <c r="J47" s="30"/>
      <c r="K47" s="30"/>
      <c r="L47" s="30"/>
      <c r="M47" s="30"/>
    </row>
    <row r="48" spans="2:13" x14ac:dyDescent="0.25">
      <c r="B48" s="30"/>
      <c r="C48" s="30"/>
      <c r="D48" s="30"/>
      <c r="E48" s="30"/>
      <c r="F48" s="30"/>
      <c r="G48" s="30"/>
      <c r="H48" s="30"/>
      <c r="I48" s="30"/>
      <c r="J48" s="30"/>
      <c r="K48" s="30"/>
      <c r="L48" s="30"/>
      <c r="M48" s="30"/>
    </row>
    <row r="49" spans="2:13" x14ac:dyDescent="0.25">
      <c r="B49" s="30"/>
      <c r="C49" s="30"/>
      <c r="D49" s="30"/>
      <c r="E49" s="30"/>
      <c r="F49" s="30"/>
      <c r="G49" s="30"/>
      <c r="H49" s="30"/>
      <c r="I49" s="30"/>
      <c r="J49" s="30"/>
      <c r="K49" s="30"/>
      <c r="L49" s="30"/>
      <c r="M49" s="30"/>
    </row>
    <row r="50" spans="2:13" x14ac:dyDescent="0.25">
      <c r="B50" s="30"/>
      <c r="C50" s="30"/>
      <c r="D50" s="30"/>
      <c r="E50" s="30"/>
      <c r="F50" s="30"/>
      <c r="G50" s="30"/>
      <c r="H50" s="30"/>
      <c r="I50" s="30"/>
      <c r="J50" s="30"/>
      <c r="K50" s="30"/>
      <c r="L50" s="30"/>
      <c r="M50" s="30"/>
    </row>
    <row r="51" spans="2:13" x14ac:dyDescent="0.25">
      <c r="B51" s="30"/>
      <c r="C51" s="30"/>
      <c r="D51" s="30"/>
      <c r="E51" s="30"/>
      <c r="F51" s="30"/>
      <c r="G51" s="30"/>
      <c r="H51" s="30"/>
      <c r="I51" s="30"/>
      <c r="J51" s="30"/>
      <c r="K51" s="30"/>
      <c r="L51" s="30"/>
      <c r="M51" s="30"/>
    </row>
    <row r="52" spans="2:13" x14ac:dyDescent="0.25">
      <c r="B52" s="30"/>
      <c r="C52" s="30"/>
      <c r="D52" s="30"/>
      <c r="E52" s="30"/>
      <c r="F52" s="30"/>
      <c r="G52" s="30"/>
      <c r="H52" s="30"/>
      <c r="I52" s="30"/>
      <c r="J52" s="30"/>
      <c r="K52" s="30"/>
      <c r="L52" s="30"/>
      <c r="M52" s="30"/>
    </row>
    <row r="53" spans="2:13" x14ac:dyDescent="0.25">
      <c r="B53" s="30"/>
      <c r="C53" s="30"/>
      <c r="D53" s="30"/>
      <c r="E53" s="30"/>
      <c r="F53" s="30"/>
      <c r="G53" s="30"/>
      <c r="H53" s="30"/>
      <c r="I53" s="30"/>
      <c r="J53" s="30"/>
      <c r="K53" s="30"/>
      <c r="L53" s="30"/>
      <c r="M53" s="30"/>
    </row>
    <row r="54" spans="2:13" x14ac:dyDescent="0.25">
      <c r="B54" s="30"/>
      <c r="C54" s="30"/>
      <c r="D54" s="30"/>
      <c r="E54" s="30"/>
      <c r="F54" s="30"/>
      <c r="G54" s="30"/>
      <c r="H54" s="30"/>
      <c r="I54" s="30"/>
      <c r="J54" s="30"/>
      <c r="K54" s="30"/>
      <c r="L54" s="30"/>
      <c r="M54" s="30"/>
    </row>
    <row r="55" spans="2:13" x14ac:dyDescent="0.25">
      <c r="B55" s="30"/>
      <c r="C55" s="30"/>
      <c r="D55" s="30"/>
      <c r="E55" s="30"/>
      <c r="F55" s="30"/>
      <c r="G55" s="30"/>
      <c r="H55" s="30"/>
      <c r="I55" s="30"/>
      <c r="J55" s="30"/>
      <c r="K55" s="30"/>
      <c r="L55" s="30"/>
      <c r="M55" s="30"/>
    </row>
    <row r="56" spans="2:13" x14ac:dyDescent="0.25">
      <c r="B56" s="30"/>
      <c r="C56" s="30"/>
      <c r="D56" s="30"/>
      <c r="E56" s="30"/>
      <c r="F56" s="30"/>
      <c r="G56" s="30"/>
      <c r="H56" s="30"/>
      <c r="I56" s="30"/>
      <c r="J56" s="30"/>
      <c r="K56" s="30"/>
      <c r="L56" s="30"/>
      <c r="M56" s="30"/>
    </row>
    <row r="57" spans="2:13" x14ac:dyDescent="0.25">
      <c r="B57" s="30"/>
      <c r="C57" s="30"/>
      <c r="D57" s="30"/>
      <c r="E57" s="30"/>
      <c r="F57" s="30"/>
      <c r="G57" s="30"/>
      <c r="H57" s="30"/>
      <c r="I57" s="30"/>
      <c r="J57" s="30"/>
      <c r="K57" s="30"/>
      <c r="L57" s="30"/>
      <c r="M57" s="30"/>
    </row>
    <row r="58" spans="2:13" x14ac:dyDescent="0.25">
      <c r="B58" s="30"/>
      <c r="C58" s="30"/>
      <c r="D58" s="30"/>
      <c r="E58" s="30"/>
      <c r="F58" s="30"/>
      <c r="G58" s="30"/>
      <c r="H58" s="30"/>
      <c r="I58" s="30"/>
      <c r="J58" s="30"/>
      <c r="K58" s="30"/>
      <c r="L58" s="30"/>
      <c r="M58" s="30"/>
    </row>
    <row r="59" spans="2:13" x14ac:dyDescent="0.25">
      <c r="B59" s="30"/>
      <c r="C59" s="30"/>
      <c r="D59" s="30"/>
      <c r="E59" s="30"/>
      <c r="F59" s="30"/>
      <c r="G59" s="30"/>
      <c r="H59" s="30"/>
      <c r="I59" s="30"/>
      <c r="J59" s="30"/>
      <c r="K59" s="30"/>
      <c r="L59" s="30"/>
      <c r="M59" s="30"/>
    </row>
    <row r="60" spans="2:13" x14ac:dyDescent="0.25">
      <c r="B60" s="30"/>
      <c r="C60" s="30"/>
      <c r="D60" s="30"/>
      <c r="E60" s="30"/>
      <c r="F60" s="30"/>
      <c r="G60" s="30"/>
      <c r="H60" s="30"/>
      <c r="I60" s="30"/>
      <c r="J60" s="30"/>
      <c r="K60" s="30"/>
      <c r="L60" s="30"/>
      <c r="M60" s="30"/>
    </row>
    <row r="61" spans="2:13" x14ac:dyDescent="0.25">
      <c r="B61" s="30"/>
      <c r="C61" s="30"/>
      <c r="D61" s="30"/>
      <c r="E61" s="30"/>
      <c r="F61" s="30"/>
      <c r="G61" s="30"/>
      <c r="H61" s="30"/>
      <c r="I61" s="30"/>
      <c r="J61" s="30"/>
      <c r="K61" s="30"/>
      <c r="L61" s="30"/>
      <c r="M61" s="30"/>
    </row>
    <row r="62" spans="2:13" x14ac:dyDescent="0.25">
      <c r="B62" s="30"/>
      <c r="C62" s="30"/>
      <c r="D62" s="30"/>
      <c r="E62" s="30"/>
      <c r="F62" s="30"/>
      <c r="G62" s="30"/>
      <c r="H62" s="30"/>
      <c r="I62" s="30"/>
      <c r="J62" s="30"/>
      <c r="K62" s="30"/>
      <c r="L62" s="30"/>
      <c r="M62" s="30"/>
    </row>
    <row r="63" spans="2:13" x14ac:dyDescent="0.25">
      <c r="B63" s="30"/>
      <c r="C63" s="30"/>
      <c r="D63" s="30"/>
      <c r="E63" s="30"/>
      <c r="F63" s="30"/>
      <c r="G63" s="30"/>
      <c r="H63" s="30"/>
      <c r="I63" s="30"/>
      <c r="J63" s="30"/>
      <c r="K63" s="30"/>
      <c r="L63" s="30"/>
      <c r="M63" s="30"/>
    </row>
    <row r="64" spans="2:13" x14ac:dyDescent="0.25">
      <c r="B64" s="30"/>
      <c r="C64" s="30"/>
      <c r="D64" s="30"/>
      <c r="E64" s="30"/>
      <c r="F64" s="30"/>
      <c r="G64" s="30"/>
      <c r="H64" s="30"/>
      <c r="I64" s="30"/>
      <c r="J64" s="30"/>
      <c r="K64" s="30"/>
      <c r="L64" s="30"/>
      <c r="M64" s="30"/>
    </row>
    <row r="65" spans="2:13" x14ac:dyDescent="0.25">
      <c r="B65" s="30"/>
      <c r="C65" s="30"/>
      <c r="D65" s="30"/>
      <c r="E65" s="30"/>
      <c r="F65" s="30"/>
      <c r="G65" s="30"/>
      <c r="H65" s="30"/>
      <c r="I65" s="30"/>
      <c r="J65" s="30"/>
      <c r="K65" s="30"/>
      <c r="L65" s="30"/>
      <c r="M65" s="30"/>
    </row>
    <row r="66" spans="2:13" x14ac:dyDescent="0.25">
      <c r="B66" s="30"/>
      <c r="C66" s="30"/>
      <c r="D66" s="30"/>
      <c r="E66" s="30"/>
      <c r="F66" s="30"/>
      <c r="G66" s="30"/>
      <c r="H66" s="30"/>
      <c r="I66" s="30"/>
      <c r="J66" s="30"/>
      <c r="K66" s="30"/>
      <c r="L66" s="30"/>
      <c r="M66" s="30"/>
    </row>
    <row r="67" spans="2:13" x14ac:dyDescent="0.25">
      <c r="B67" s="30"/>
      <c r="C67" s="30"/>
      <c r="D67" s="30"/>
      <c r="E67" s="30"/>
      <c r="F67" s="30"/>
      <c r="G67" s="30"/>
      <c r="H67" s="30"/>
      <c r="I67" s="30"/>
      <c r="J67" s="30"/>
      <c r="K67" s="30"/>
      <c r="L67" s="30"/>
      <c r="M67" s="30"/>
    </row>
    <row r="68" spans="2:13" x14ac:dyDescent="0.25">
      <c r="B68" s="30"/>
      <c r="C68" s="30"/>
      <c r="D68" s="30"/>
      <c r="E68" s="30"/>
      <c r="F68" s="30"/>
      <c r="G68" s="30"/>
      <c r="H68" s="30"/>
      <c r="I68" s="30"/>
      <c r="J68" s="30"/>
      <c r="K68" s="30"/>
      <c r="L68" s="30"/>
      <c r="M68" s="30"/>
    </row>
    <row r="69" spans="2:13" x14ac:dyDescent="0.25">
      <c r="B69" s="30"/>
      <c r="C69" s="30"/>
      <c r="D69" s="30"/>
      <c r="E69" s="30"/>
      <c r="F69" s="30"/>
      <c r="G69" s="30"/>
      <c r="H69" s="30"/>
      <c r="I69" s="30"/>
      <c r="J69" s="30"/>
      <c r="K69" s="30"/>
      <c r="L69" s="30"/>
      <c r="M69" s="30"/>
    </row>
    <row r="70" spans="2:13" x14ac:dyDescent="0.25">
      <c r="B70" s="30"/>
      <c r="C70" s="30"/>
      <c r="D70" s="30"/>
      <c r="E70" s="30"/>
      <c r="F70" s="30"/>
      <c r="G70" s="30"/>
      <c r="H70" s="30"/>
      <c r="I70" s="30"/>
      <c r="J70" s="30"/>
      <c r="K70" s="30"/>
      <c r="L70" s="30"/>
      <c r="M70" s="30"/>
    </row>
    <row r="71" spans="2:13" x14ac:dyDescent="0.25">
      <c r="B71" s="30"/>
      <c r="C71" s="30"/>
      <c r="D71" s="30"/>
      <c r="E71" s="30"/>
      <c r="F71" s="30"/>
      <c r="G71" s="30"/>
      <c r="H71" s="30"/>
      <c r="I71" s="30"/>
      <c r="J71" s="30"/>
      <c r="K71" s="30"/>
      <c r="L71" s="30"/>
      <c r="M71" s="30"/>
    </row>
    <row r="72" spans="2:13" x14ac:dyDescent="0.25">
      <c r="B72" s="30"/>
      <c r="C72" s="30"/>
      <c r="D72" s="30"/>
      <c r="E72" s="30"/>
      <c r="F72" s="30"/>
      <c r="G72" s="30"/>
      <c r="H72" s="30"/>
      <c r="I72" s="30"/>
      <c r="J72" s="30"/>
      <c r="K72" s="30"/>
      <c r="L72" s="30"/>
      <c r="M72" s="30"/>
    </row>
    <row r="73" spans="2:13" x14ac:dyDescent="0.25">
      <c r="B73" s="30"/>
      <c r="C73" s="30"/>
      <c r="D73" s="30"/>
      <c r="E73" s="30"/>
      <c r="F73" s="30"/>
      <c r="G73" s="30"/>
      <c r="H73" s="30"/>
      <c r="I73" s="30"/>
      <c r="J73" s="30"/>
      <c r="K73" s="30"/>
      <c r="L73" s="30"/>
      <c r="M73" s="30"/>
    </row>
    <row r="74" spans="2:13" x14ac:dyDescent="0.25">
      <c r="B74" s="30"/>
      <c r="C74" s="30"/>
      <c r="D74" s="30"/>
      <c r="E74" s="30"/>
      <c r="F74" s="30"/>
      <c r="G74" s="30"/>
      <c r="H74" s="30"/>
      <c r="I74" s="30"/>
      <c r="J74" s="30"/>
      <c r="K74" s="30"/>
      <c r="L74" s="30"/>
      <c r="M74" s="30"/>
    </row>
    <row r="75" spans="2:13" x14ac:dyDescent="0.25">
      <c r="B75" s="30"/>
      <c r="C75" s="30"/>
      <c r="D75" s="30"/>
      <c r="E75" s="30"/>
      <c r="F75" s="30"/>
      <c r="G75" s="30"/>
      <c r="H75" s="30"/>
      <c r="I75" s="30"/>
      <c r="J75" s="30"/>
      <c r="K75" s="30"/>
      <c r="L75" s="30"/>
      <c r="M75" s="30"/>
    </row>
    <row r="76" spans="2:13" x14ac:dyDescent="0.25">
      <c r="B76" s="30"/>
      <c r="C76" s="30"/>
      <c r="D76" s="30"/>
      <c r="E76" s="30"/>
      <c r="F76" s="30"/>
      <c r="G76" s="30"/>
      <c r="H76" s="30"/>
      <c r="I76" s="30"/>
      <c r="J76" s="30"/>
      <c r="K76" s="30"/>
      <c r="L76" s="30"/>
      <c r="M76" s="30"/>
    </row>
    <row r="77" spans="2:13" x14ac:dyDescent="0.25">
      <c r="B77" s="30"/>
      <c r="C77" s="30"/>
      <c r="D77" s="30"/>
      <c r="E77" s="30"/>
      <c r="F77" s="30"/>
      <c r="G77" s="30"/>
      <c r="H77" s="30"/>
      <c r="I77" s="30"/>
      <c r="J77" s="30"/>
      <c r="K77" s="30"/>
      <c r="L77" s="30"/>
      <c r="M77" s="30"/>
    </row>
    <row r="78" spans="2:13" x14ac:dyDescent="0.25">
      <c r="B78" s="30"/>
      <c r="C78" s="30"/>
      <c r="D78" s="30"/>
      <c r="E78" s="30"/>
      <c r="F78" s="30"/>
      <c r="G78" s="30"/>
      <c r="H78" s="30"/>
      <c r="I78" s="30"/>
      <c r="J78" s="30"/>
      <c r="K78" s="30"/>
      <c r="L78" s="30"/>
      <c r="M78" s="30"/>
    </row>
    <row r="79" spans="2:13" x14ac:dyDescent="0.25">
      <c r="B79" s="30"/>
      <c r="C79" s="30"/>
      <c r="D79" s="30"/>
      <c r="E79" s="30"/>
      <c r="F79" s="30"/>
      <c r="G79" s="30"/>
      <c r="H79" s="30"/>
      <c r="I79" s="30"/>
      <c r="J79" s="30"/>
      <c r="K79" s="30"/>
      <c r="L79" s="30"/>
      <c r="M79" s="30"/>
    </row>
    <row r="80" spans="2:13" x14ac:dyDescent="0.25">
      <c r="B80" s="30"/>
      <c r="C80" s="30"/>
      <c r="D80" s="30"/>
      <c r="E80" s="30"/>
      <c r="F80" s="30"/>
      <c r="G80" s="30"/>
      <c r="H80" s="30"/>
      <c r="I80" s="30"/>
      <c r="J80" s="30"/>
      <c r="K80" s="30"/>
      <c r="L80" s="30"/>
      <c r="M80" s="30"/>
    </row>
    <row r="81" spans="2:13" x14ac:dyDescent="0.25">
      <c r="B81" s="30"/>
      <c r="C81" s="30"/>
      <c r="D81" s="30"/>
      <c r="E81" s="30"/>
      <c r="F81" s="30"/>
      <c r="G81" s="30"/>
      <c r="H81" s="30"/>
      <c r="I81" s="30"/>
      <c r="J81" s="30"/>
      <c r="K81" s="30"/>
      <c r="L81" s="30"/>
      <c r="M81" s="30"/>
    </row>
    <row r="82" spans="2:13" x14ac:dyDescent="0.25">
      <c r="B82" s="30"/>
      <c r="C82" s="30"/>
      <c r="D82" s="30"/>
      <c r="E82" s="30"/>
      <c r="F82" s="30"/>
      <c r="G82" s="30"/>
      <c r="H82" s="30"/>
      <c r="I82" s="30"/>
      <c r="J82" s="30"/>
      <c r="K82" s="30"/>
      <c r="L82" s="30"/>
      <c r="M82" s="30"/>
    </row>
    <row r="83" spans="2:13" x14ac:dyDescent="0.25">
      <c r="B83" s="30"/>
      <c r="C83" s="30"/>
      <c r="D83" s="30"/>
      <c r="E83" s="30"/>
      <c r="F83" s="30"/>
      <c r="G83" s="30"/>
      <c r="H83" s="30"/>
      <c r="I83" s="30"/>
      <c r="J83" s="30"/>
      <c r="K83" s="30"/>
      <c r="L83" s="30"/>
      <c r="M83" s="30"/>
    </row>
    <row r="84" spans="2:13" x14ac:dyDescent="0.25">
      <c r="B84" s="30"/>
      <c r="C84" s="30"/>
      <c r="D84" s="30"/>
      <c r="E84" s="30"/>
      <c r="F84" s="30"/>
      <c r="G84" s="30"/>
      <c r="H84" s="30"/>
      <c r="I84" s="30"/>
      <c r="J84" s="30"/>
      <c r="K84" s="30"/>
      <c r="L84" s="30"/>
      <c r="M84" s="30"/>
    </row>
    <row r="85" spans="2:13" x14ac:dyDescent="0.25">
      <c r="B85" s="30"/>
      <c r="C85" s="30"/>
      <c r="D85" s="30"/>
      <c r="E85" s="30"/>
      <c r="F85" s="30"/>
      <c r="G85" s="30"/>
      <c r="H85" s="30"/>
      <c r="I85" s="30"/>
      <c r="J85" s="30"/>
      <c r="K85" s="30"/>
      <c r="L85" s="30"/>
      <c r="M85" s="30"/>
    </row>
    <row r="86" spans="2:13" x14ac:dyDescent="0.25">
      <c r="B86" s="30"/>
      <c r="C86" s="30"/>
      <c r="D86" s="30"/>
      <c r="E86" s="30"/>
      <c r="F86" s="30"/>
      <c r="G86" s="30"/>
      <c r="H86" s="30"/>
      <c r="I86" s="30"/>
      <c r="J86" s="30"/>
      <c r="K86" s="30"/>
      <c r="L86" s="30"/>
      <c r="M86" s="30"/>
    </row>
    <row r="87" spans="2:13" x14ac:dyDescent="0.25">
      <c r="B87" s="30"/>
      <c r="C87" s="30"/>
      <c r="D87" s="30"/>
      <c r="E87" s="30"/>
      <c r="F87" s="30"/>
      <c r="G87" s="30"/>
      <c r="H87" s="30"/>
      <c r="I87" s="30"/>
      <c r="J87" s="30"/>
      <c r="K87" s="30"/>
      <c r="L87" s="30"/>
      <c r="M87" s="30"/>
    </row>
    <row r="88" spans="2:13" x14ac:dyDescent="0.25">
      <c r="B88" s="30"/>
      <c r="C88" s="30"/>
      <c r="D88" s="30"/>
      <c r="E88" s="30"/>
      <c r="F88" s="30"/>
      <c r="G88" s="30"/>
      <c r="H88" s="30"/>
      <c r="I88" s="30"/>
      <c r="J88" s="30"/>
      <c r="K88" s="30"/>
      <c r="L88" s="30"/>
      <c r="M88" s="30"/>
    </row>
    <row r="89" spans="2:13" x14ac:dyDescent="0.25">
      <c r="B89" s="30"/>
      <c r="C89" s="30"/>
      <c r="D89" s="30"/>
      <c r="E89" s="30"/>
      <c r="F89" s="30"/>
      <c r="G89" s="30"/>
      <c r="H89" s="30"/>
      <c r="I89" s="30"/>
      <c r="J89" s="30"/>
      <c r="K89" s="30"/>
      <c r="L89" s="30"/>
      <c r="M89" s="30"/>
    </row>
    <row r="90" spans="2:13" x14ac:dyDescent="0.25">
      <c r="B90" s="30"/>
      <c r="C90" s="30"/>
      <c r="D90" s="30"/>
      <c r="E90" s="30"/>
      <c r="F90" s="30"/>
      <c r="G90" s="30"/>
      <c r="H90" s="30"/>
      <c r="I90" s="30"/>
      <c r="J90" s="30"/>
      <c r="K90" s="30"/>
      <c r="L90" s="30"/>
      <c r="M90" s="30"/>
    </row>
    <row r="91" spans="2:13" x14ac:dyDescent="0.25">
      <c r="B91" s="30"/>
      <c r="C91" s="30"/>
      <c r="D91" s="30"/>
      <c r="E91" s="30"/>
      <c r="F91" s="30"/>
      <c r="G91" s="30"/>
      <c r="H91" s="30"/>
      <c r="I91" s="30"/>
      <c r="J91" s="30"/>
      <c r="K91" s="30"/>
      <c r="L91" s="30"/>
      <c r="M91" s="30"/>
    </row>
    <row r="92" spans="2:13" x14ac:dyDescent="0.25">
      <c r="B92" s="30"/>
      <c r="C92" s="30"/>
      <c r="D92" s="30"/>
      <c r="E92" s="30"/>
      <c r="F92" s="30"/>
      <c r="G92" s="30"/>
      <c r="H92" s="30"/>
      <c r="I92" s="30"/>
      <c r="J92" s="30"/>
      <c r="K92" s="30"/>
      <c r="L92" s="30"/>
      <c r="M92" s="30"/>
    </row>
    <row r="93" spans="2:13" x14ac:dyDescent="0.25">
      <c r="B93" s="30"/>
      <c r="C93" s="30"/>
      <c r="D93" s="30"/>
      <c r="E93" s="30"/>
      <c r="F93" s="30"/>
      <c r="G93" s="30"/>
      <c r="H93" s="30"/>
      <c r="I93" s="30"/>
      <c r="J93" s="30"/>
      <c r="K93" s="30"/>
      <c r="L93" s="30"/>
      <c r="M93" s="30"/>
    </row>
    <row r="94" spans="2:13" x14ac:dyDescent="0.25">
      <c r="B94" s="30"/>
      <c r="C94" s="30"/>
      <c r="D94" s="30"/>
      <c r="E94" s="30"/>
      <c r="F94" s="30"/>
      <c r="G94" s="30"/>
      <c r="H94" s="30"/>
      <c r="I94" s="30"/>
      <c r="J94" s="30"/>
      <c r="K94" s="30"/>
      <c r="L94" s="30"/>
      <c r="M94" s="30"/>
    </row>
    <row r="95" spans="2:13" x14ac:dyDescent="0.25">
      <c r="B95" s="30"/>
      <c r="C95" s="30"/>
      <c r="D95" s="30"/>
      <c r="E95" s="30"/>
      <c r="F95" s="30"/>
      <c r="G95" s="30"/>
      <c r="H95" s="30"/>
      <c r="I95" s="30"/>
      <c r="J95" s="30"/>
      <c r="K95" s="30"/>
      <c r="L95" s="30"/>
      <c r="M95" s="30"/>
    </row>
    <row r="96" spans="2:13" x14ac:dyDescent="0.25">
      <c r="B96" s="30"/>
      <c r="C96" s="30"/>
      <c r="D96" s="30"/>
      <c r="E96" s="30"/>
      <c r="F96" s="30"/>
      <c r="G96" s="30"/>
      <c r="H96" s="30"/>
      <c r="I96" s="30"/>
      <c r="J96" s="30"/>
      <c r="K96" s="30"/>
      <c r="L96" s="30"/>
      <c r="M96" s="30"/>
    </row>
  </sheetData>
  <sheetProtection algorithmName="SHA-512" hashValue="ouB21ghGmRDe/JymebPb2b2RghGD/YYoS2A0hTXko9RoybSkm7EoXmzP0Lplf8fChHMeRCva/ns2t4MCdcwx/g==" saltValue="wVnsT/NtisT84MMHtYoDdQ==" spinCount="100000" sheet="1" objects="1" scenarios="1" selectLockedCells="1" selectUnlockedCells="1"/>
  <mergeCells count="9">
    <mergeCell ref="B10:M10"/>
    <mergeCell ref="B11:M11"/>
    <mergeCell ref="B12:M12"/>
    <mergeCell ref="B13:M13"/>
    <mergeCell ref="B3:AE4"/>
    <mergeCell ref="B6:M6"/>
    <mergeCell ref="B7:M7"/>
    <mergeCell ref="B8:M8"/>
    <mergeCell ref="B9:M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D84C7-14F9-4415-A8D2-25B6235165FE}">
  <dimension ref="A3:S133"/>
  <sheetViews>
    <sheetView showRowColHeaders="0" zoomScaleNormal="100" workbookViewId="0"/>
  </sheetViews>
  <sheetFormatPr defaultColWidth="9.140625" defaultRowHeight="15" x14ac:dyDescent="0.25"/>
  <cols>
    <col min="1" max="2" width="9.140625" style="127"/>
    <col min="3" max="3" width="10.85546875" style="127" customWidth="1"/>
    <col min="4" max="12" width="9.140625" style="127"/>
    <col min="13" max="13" width="11.140625" style="127" customWidth="1"/>
    <col min="14" max="14" width="2" style="127" customWidth="1"/>
    <col min="15" max="16384" width="9.140625" style="127"/>
  </cols>
  <sheetData>
    <row r="3" spans="1:14" ht="12.75" customHeight="1" x14ac:dyDescent="0.25">
      <c r="B3" s="225" t="s">
        <v>16</v>
      </c>
      <c r="C3" s="226"/>
      <c r="D3" s="226"/>
      <c r="E3" s="226"/>
      <c r="F3" s="226"/>
      <c r="G3" s="226"/>
      <c r="H3" s="226"/>
      <c r="I3" s="226"/>
      <c r="J3" s="226"/>
      <c r="K3" s="226"/>
      <c r="L3" s="226"/>
      <c r="M3" s="226"/>
      <c r="N3" s="227"/>
    </row>
    <row r="4" spans="1:14" ht="9.75" customHeight="1" x14ac:dyDescent="0.25">
      <c r="B4" s="225"/>
      <c r="C4" s="226"/>
      <c r="D4" s="226"/>
      <c r="E4" s="226"/>
      <c r="F4" s="226"/>
      <c r="G4" s="226"/>
      <c r="H4" s="226"/>
      <c r="I4" s="226"/>
      <c r="J4" s="226"/>
      <c r="K4" s="226"/>
      <c r="L4" s="226"/>
      <c r="M4" s="226"/>
      <c r="N4" s="227"/>
    </row>
    <row r="5" spans="1:14" ht="15.75" customHeight="1" thickBot="1" x14ac:dyDescent="0.3">
      <c r="B5" s="225"/>
      <c r="C5" s="226"/>
      <c r="D5" s="226"/>
      <c r="E5" s="226"/>
      <c r="F5" s="226"/>
      <c r="G5" s="226"/>
      <c r="H5" s="226"/>
      <c r="I5" s="226"/>
      <c r="J5" s="226"/>
      <c r="K5" s="226"/>
      <c r="L5" s="226"/>
      <c r="M5" s="226"/>
      <c r="N5" s="227"/>
    </row>
    <row r="6" spans="1:14" ht="15.75" thickTop="1" x14ac:dyDescent="0.25">
      <c r="B6" s="197"/>
      <c r="C6" s="198"/>
      <c r="D6" s="198"/>
      <c r="E6" s="198"/>
      <c r="F6" s="198"/>
      <c r="G6" s="198"/>
      <c r="H6" s="198"/>
      <c r="I6" s="198"/>
      <c r="J6" s="198"/>
      <c r="K6" s="198"/>
      <c r="L6" s="198"/>
      <c r="M6" s="198"/>
      <c r="N6" s="199"/>
    </row>
    <row r="7" spans="1:14" x14ac:dyDescent="0.25">
      <c r="A7" s="128"/>
      <c r="B7" s="239" t="s">
        <v>17</v>
      </c>
      <c r="C7" s="240"/>
      <c r="D7" s="240"/>
      <c r="E7" s="240"/>
      <c r="F7" s="240"/>
      <c r="G7" s="240"/>
      <c r="H7" s="240"/>
      <c r="I7" s="240"/>
      <c r="J7" s="240"/>
      <c r="K7" s="240"/>
      <c r="L7" s="240"/>
      <c r="M7" s="240"/>
      <c r="N7" s="112"/>
    </row>
    <row r="8" spans="1:14" x14ac:dyDescent="0.25">
      <c r="B8" s="200"/>
      <c r="C8" s="201"/>
      <c r="D8" s="201"/>
      <c r="E8" s="201"/>
      <c r="F8" s="201"/>
      <c r="G8" s="201"/>
      <c r="H8" s="201"/>
      <c r="I8" s="201"/>
      <c r="J8" s="201"/>
      <c r="K8" s="201"/>
      <c r="L8" s="201"/>
      <c r="M8" s="201"/>
      <c r="N8" s="112"/>
    </row>
    <row r="9" spans="1:14" x14ac:dyDescent="0.25">
      <c r="B9" s="200"/>
      <c r="C9" s="201"/>
      <c r="D9" s="201"/>
      <c r="E9" s="201"/>
      <c r="F9" s="201"/>
      <c r="G9" s="201"/>
      <c r="H9" s="201"/>
      <c r="I9" s="201"/>
      <c r="J9" s="201"/>
      <c r="K9" s="201"/>
      <c r="L9" s="201"/>
      <c r="M9" s="201"/>
      <c r="N9" s="112"/>
    </row>
    <row r="10" spans="1:14" x14ac:dyDescent="0.25">
      <c r="B10" s="200"/>
      <c r="C10" s="201"/>
      <c r="D10" s="201"/>
      <c r="E10" s="201"/>
      <c r="F10" s="201"/>
      <c r="G10" s="201"/>
      <c r="H10" s="201"/>
      <c r="I10" s="201"/>
      <c r="J10" s="201"/>
      <c r="K10" s="201"/>
      <c r="L10" s="201"/>
      <c r="M10" s="201"/>
      <c r="N10" s="112"/>
    </row>
    <row r="11" spans="1:14" x14ac:dyDescent="0.25">
      <c r="B11" s="200"/>
      <c r="C11" s="201"/>
      <c r="D11" s="201"/>
      <c r="E11" s="201"/>
      <c r="F11" s="201"/>
      <c r="G11" s="201"/>
      <c r="H11" s="201"/>
      <c r="I11" s="201"/>
      <c r="J11" s="201"/>
      <c r="K11" s="201"/>
      <c r="L11" s="201"/>
      <c r="M11" s="201"/>
      <c r="N11" s="112"/>
    </row>
    <row r="12" spans="1:14" x14ac:dyDescent="0.25">
      <c r="B12" s="200"/>
      <c r="C12" s="201"/>
      <c r="D12" s="201"/>
      <c r="E12" s="201"/>
      <c r="F12" s="201"/>
      <c r="G12" s="201"/>
      <c r="H12" s="201"/>
      <c r="I12" s="201"/>
      <c r="J12" s="201"/>
      <c r="K12" s="201"/>
      <c r="L12" s="201"/>
      <c r="M12" s="201"/>
      <c r="N12" s="112"/>
    </row>
    <row r="13" spans="1:14" x14ac:dyDescent="0.25">
      <c r="B13" s="200"/>
      <c r="C13" s="201"/>
      <c r="D13" s="201"/>
      <c r="E13" s="201"/>
      <c r="F13" s="201"/>
      <c r="G13" s="201"/>
      <c r="H13" s="201"/>
      <c r="I13" s="201"/>
      <c r="J13" s="201"/>
      <c r="K13" s="201"/>
      <c r="L13" s="201"/>
      <c r="M13" s="201"/>
      <c r="N13" s="112"/>
    </row>
    <row r="14" spans="1:14" x14ac:dyDescent="0.25">
      <c r="B14" s="200"/>
      <c r="C14" s="201"/>
      <c r="D14" s="201"/>
      <c r="E14" s="201"/>
      <c r="F14" s="201"/>
      <c r="G14" s="201"/>
      <c r="H14" s="201"/>
      <c r="I14" s="201"/>
      <c r="J14" s="201"/>
      <c r="K14" s="201"/>
      <c r="L14" s="201"/>
      <c r="M14" s="201"/>
      <c r="N14" s="112"/>
    </row>
    <row r="15" spans="1:14" x14ac:dyDescent="0.25">
      <c r="B15" s="200"/>
      <c r="C15" s="201"/>
      <c r="D15" s="201"/>
      <c r="E15" s="201"/>
      <c r="F15" s="201"/>
      <c r="G15" s="201"/>
      <c r="H15" s="201"/>
      <c r="I15" s="201"/>
      <c r="J15" s="201"/>
      <c r="K15" s="201"/>
      <c r="L15" s="201"/>
      <c r="M15" s="201"/>
      <c r="N15" s="112"/>
    </row>
    <row r="16" spans="1:14" x14ac:dyDescent="0.25">
      <c r="B16" s="200"/>
      <c r="C16" s="201"/>
      <c r="D16" s="201"/>
      <c r="E16" s="201"/>
      <c r="F16" s="201"/>
      <c r="G16" s="201"/>
      <c r="H16" s="201"/>
      <c r="I16" s="201"/>
      <c r="J16" s="201"/>
      <c r="K16" s="201"/>
      <c r="L16" s="201"/>
      <c r="M16" s="201"/>
      <c r="N16" s="112"/>
    </row>
    <row r="17" spans="1:19" x14ac:dyDescent="0.25">
      <c r="B17" s="200"/>
      <c r="C17" s="201"/>
      <c r="D17" s="201"/>
      <c r="E17" s="201"/>
      <c r="F17" s="201"/>
      <c r="G17" s="201"/>
      <c r="H17" s="201"/>
      <c r="I17" s="201"/>
      <c r="J17" s="201"/>
      <c r="K17" s="201"/>
      <c r="L17" s="201"/>
      <c r="M17" s="201"/>
      <c r="N17" s="112"/>
    </row>
    <row r="18" spans="1:19" x14ac:dyDescent="0.25">
      <c r="B18" s="200"/>
      <c r="C18" s="201"/>
      <c r="D18" s="201"/>
      <c r="E18" s="201"/>
      <c r="F18" s="201"/>
      <c r="G18" s="201"/>
      <c r="H18" s="201"/>
      <c r="I18" s="201"/>
      <c r="J18" s="201"/>
      <c r="K18" s="201"/>
      <c r="L18" s="201"/>
      <c r="M18" s="201"/>
      <c r="N18" s="112"/>
    </row>
    <row r="19" spans="1:19" x14ac:dyDescent="0.25">
      <c r="B19" s="200"/>
      <c r="C19" s="201"/>
      <c r="D19" s="201"/>
      <c r="E19" s="201"/>
      <c r="F19" s="201"/>
      <c r="G19" s="201"/>
      <c r="H19" s="201"/>
      <c r="I19" s="201"/>
      <c r="J19" s="201"/>
      <c r="K19" s="201"/>
      <c r="L19" s="201"/>
      <c r="M19" s="201"/>
      <c r="N19" s="112"/>
    </row>
    <row r="20" spans="1:19" ht="18" x14ac:dyDescent="0.25">
      <c r="A20" s="128"/>
      <c r="B20" s="113" t="s">
        <v>18</v>
      </c>
      <c r="C20" s="201"/>
      <c r="D20" s="201"/>
      <c r="E20" s="201"/>
      <c r="F20" s="201"/>
      <c r="G20" s="201"/>
      <c r="H20" s="201"/>
      <c r="I20" s="201"/>
      <c r="J20" s="201"/>
      <c r="K20" s="201"/>
      <c r="L20" s="201"/>
      <c r="M20" s="201"/>
      <c r="N20" s="112"/>
    </row>
    <row r="21" spans="1:19" x14ac:dyDescent="0.25">
      <c r="B21" s="200"/>
      <c r="C21" s="201"/>
      <c r="D21" s="201"/>
      <c r="E21" s="201"/>
      <c r="F21" s="201"/>
      <c r="G21" s="201"/>
      <c r="H21" s="201"/>
      <c r="I21" s="201"/>
      <c r="J21" s="201"/>
      <c r="K21" s="201"/>
      <c r="L21" s="201"/>
      <c r="M21" s="201"/>
      <c r="N21" s="112"/>
    </row>
    <row r="22" spans="1:19" x14ac:dyDescent="0.25">
      <c r="B22" s="200"/>
      <c r="C22" s="118" t="s">
        <v>19</v>
      </c>
      <c r="D22" s="201"/>
      <c r="E22" s="201"/>
      <c r="F22" s="201"/>
      <c r="G22" s="201"/>
      <c r="H22" s="201"/>
      <c r="I22" s="201"/>
      <c r="J22" s="201"/>
      <c r="K22" s="201"/>
      <c r="L22" s="201"/>
      <c r="M22" s="201"/>
      <c r="N22" s="112"/>
    </row>
    <row r="23" spans="1:19" x14ac:dyDescent="0.25">
      <c r="B23" s="200"/>
      <c r="C23" s="202"/>
      <c r="D23" s="203" t="s">
        <v>20</v>
      </c>
      <c r="E23" s="201"/>
      <c r="F23" s="201"/>
      <c r="G23" s="201"/>
      <c r="H23" s="201"/>
      <c r="I23" s="201"/>
      <c r="J23" s="201"/>
      <c r="K23" s="201"/>
      <c r="L23" s="201"/>
      <c r="M23" s="201"/>
      <c r="N23" s="112"/>
    </row>
    <row r="24" spans="1:19" x14ac:dyDescent="0.25">
      <c r="B24" s="200"/>
      <c r="C24" s="204"/>
      <c r="D24" s="203" t="s">
        <v>21</v>
      </c>
      <c r="E24" s="201"/>
      <c r="F24" s="201"/>
      <c r="G24" s="201"/>
      <c r="H24" s="201"/>
      <c r="I24" s="201"/>
      <c r="J24" s="201"/>
      <c r="K24" s="201"/>
      <c r="L24" s="201"/>
      <c r="M24" s="201"/>
      <c r="N24" s="112"/>
    </row>
    <row r="25" spans="1:19" ht="16.5" x14ac:dyDescent="0.3">
      <c r="B25" s="200"/>
      <c r="C25" s="205"/>
      <c r="D25" s="203" t="s">
        <v>22</v>
      </c>
      <c r="E25" s="201"/>
      <c r="F25" s="201"/>
      <c r="G25" s="201"/>
      <c r="H25" s="201"/>
      <c r="I25" s="201"/>
      <c r="J25" s="201"/>
      <c r="K25" s="201"/>
      <c r="L25" s="201"/>
      <c r="M25" s="201"/>
      <c r="N25" s="112"/>
      <c r="S25" s="206"/>
    </row>
    <row r="26" spans="1:19" ht="16.5" x14ac:dyDescent="0.3">
      <c r="B26" s="200"/>
      <c r="C26" s="201"/>
      <c r="D26" s="201"/>
      <c r="E26" s="201"/>
      <c r="F26" s="201"/>
      <c r="G26" s="201"/>
      <c r="H26" s="201"/>
      <c r="I26" s="201"/>
      <c r="J26" s="201"/>
      <c r="K26" s="201"/>
      <c r="L26" s="201"/>
      <c r="M26" s="201"/>
      <c r="N26" s="112"/>
      <c r="S26" s="207"/>
    </row>
    <row r="27" spans="1:19" ht="16.5" x14ac:dyDescent="0.3">
      <c r="A27" s="128"/>
      <c r="B27" s="239" t="s">
        <v>23</v>
      </c>
      <c r="C27" s="240"/>
      <c r="D27" s="240"/>
      <c r="E27" s="240"/>
      <c r="F27" s="240"/>
      <c r="G27" s="240"/>
      <c r="H27" s="240"/>
      <c r="I27" s="240"/>
      <c r="J27" s="240"/>
      <c r="K27" s="240"/>
      <c r="L27" s="240"/>
      <c r="M27" s="240"/>
      <c r="N27" s="112"/>
      <c r="S27" s="206"/>
    </row>
    <row r="28" spans="1:19" ht="9.75" customHeight="1" x14ac:dyDescent="0.3">
      <c r="B28" s="200"/>
      <c r="C28" s="201"/>
      <c r="D28" s="201"/>
      <c r="E28" s="201"/>
      <c r="F28" s="201"/>
      <c r="G28" s="201"/>
      <c r="H28" s="201"/>
      <c r="I28" s="201"/>
      <c r="J28" s="201"/>
      <c r="K28" s="201"/>
      <c r="L28" s="201"/>
      <c r="M28" s="201"/>
      <c r="N28" s="112"/>
      <c r="S28" s="206"/>
    </row>
    <row r="29" spans="1:19" x14ac:dyDescent="0.25">
      <c r="B29" s="200"/>
      <c r="C29" s="201"/>
      <c r="D29" s="201"/>
      <c r="E29" s="201"/>
      <c r="F29" s="201"/>
      <c r="G29" s="201"/>
      <c r="H29" s="201"/>
      <c r="I29" s="201"/>
      <c r="J29" s="201"/>
      <c r="K29" s="201"/>
      <c r="L29" s="201"/>
      <c r="M29" s="201"/>
      <c r="N29" s="112"/>
    </row>
    <row r="30" spans="1:19" x14ac:dyDescent="0.25">
      <c r="B30" s="200"/>
      <c r="C30" s="201"/>
      <c r="D30" s="201"/>
      <c r="E30" s="201"/>
      <c r="F30" s="201"/>
      <c r="G30" s="201"/>
      <c r="H30" s="201"/>
      <c r="I30" s="201"/>
      <c r="J30" s="201"/>
      <c r="K30" s="201"/>
      <c r="L30" s="201"/>
      <c r="M30" s="201"/>
      <c r="N30" s="112"/>
    </row>
    <row r="31" spans="1:19" x14ac:dyDescent="0.25">
      <c r="B31" s="200"/>
      <c r="C31" s="201"/>
      <c r="D31" s="201"/>
      <c r="E31" s="201"/>
      <c r="F31" s="201"/>
      <c r="G31" s="201"/>
      <c r="H31" s="201"/>
      <c r="I31" s="201"/>
      <c r="J31" s="201"/>
      <c r="K31" s="201"/>
      <c r="L31" s="201"/>
      <c r="M31" s="201"/>
      <c r="N31" s="112"/>
    </row>
    <row r="32" spans="1:19" x14ac:dyDescent="0.25">
      <c r="B32" s="200"/>
      <c r="C32" s="201"/>
      <c r="D32" s="201"/>
      <c r="E32" s="201"/>
      <c r="F32" s="201"/>
      <c r="G32" s="201"/>
      <c r="H32" s="201"/>
      <c r="I32" s="201"/>
      <c r="J32" s="201"/>
      <c r="K32" s="201"/>
      <c r="L32" s="201"/>
      <c r="M32" s="201"/>
      <c r="N32" s="112"/>
    </row>
    <row r="33" spans="1:14" x14ac:dyDescent="0.25">
      <c r="B33" s="200"/>
      <c r="C33" s="201"/>
      <c r="D33" s="201"/>
      <c r="E33" s="201"/>
      <c r="F33" s="201"/>
      <c r="G33" s="201"/>
      <c r="H33" s="201"/>
      <c r="I33" s="201"/>
      <c r="J33" s="201"/>
      <c r="K33" s="201"/>
      <c r="L33" s="201"/>
      <c r="M33" s="201"/>
      <c r="N33" s="112"/>
    </row>
    <row r="34" spans="1:14" x14ac:dyDescent="0.25">
      <c r="B34" s="200"/>
      <c r="C34" s="201"/>
      <c r="D34" s="201"/>
      <c r="E34" s="201"/>
      <c r="F34" s="201"/>
      <c r="G34" s="201"/>
      <c r="H34" s="201"/>
      <c r="I34" s="201"/>
      <c r="J34" s="201"/>
      <c r="K34" s="201"/>
      <c r="L34" s="201"/>
      <c r="M34" s="201"/>
      <c r="N34" s="112"/>
    </row>
    <row r="35" spans="1:14" x14ac:dyDescent="0.25">
      <c r="B35" s="200"/>
      <c r="C35" s="201"/>
      <c r="D35" s="201"/>
      <c r="E35" s="201"/>
      <c r="F35" s="201"/>
      <c r="G35" s="201"/>
      <c r="H35" s="201"/>
      <c r="I35" s="201"/>
      <c r="J35" s="201"/>
      <c r="K35" s="201"/>
      <c r="L35" s="201"/>
      <c r="M35" s="201"/>
      <c r="N35" s="112"/>
    </row>
    <row r="36" spans="1:14" ht="42.75" customHeight="1" x14ac:dyDescent="0.25">
      <c r="B36" s="200"/>
      <c r="C36" s="201"/>
      <c r="D36" s="201"/>
      <c r="E36" s="201"/>
      <c r="F36" s="201"/>
      <c r="G36" s="201"/>
      <c r="H36" s="201"/>
      <c r="I36" s="201"/>
      <c r="J36" s="201"/>
      <c r="K36" s="201"/>
      <c r="L36" s="201"/>
      <c r="M36" s="201"/>
      <c r="N36" s="112"/>
    </row>
    <row r="37" spans="1:14" ht="31.5" customHeight="1" x14ac:dyDescent="0.25">
      <c r="A37" s="128"/>
      <c r="B37" s="241" t="s">
        <v>24</v>
      </c>
      <c r="C37" s="241"/>
      <c r="D37" s="241"/>
      <c r="E37" s="241"/>
      <c r="F37" s="241"/>
      <c r="G37" s="241"/>
      <c r="H37" s="241"/>
      <c r="I37" s="241"/>
      <c r="J37" s="241"/>
      <c r="K37" s="241"/>
      <c r="L37" s="241"/>
      <c r="M37" s="241"/>
      <c r="N37" s="112"/>
    </row>
    <row r="38" spans="1:14" x14ac:dyDescent="0.25">
      <c r="B38" s="200"/>
      <c r="C38" s="201"/>
      <c r="D38" s="201"/>
      <c r="E38" s="201"/>
      <c r="F38" s="201"/>
      <c r="G38" s="201"/>
      <c r="H38" s="201"/>
      <c r="I38" s="201"/>
      <c r="J38" s="201"/>
      <c r="K38" s="201"/>
      <c r="L38" s="201"/>
      <c r="M38" s="201"/>
      <c r="N38" s="112"/>
    </row>
    <row r="39" spans="1:14" x14ac:dyDescent="0.25">
      <c r="B39" s="116" t="s">
        <v>25</v>
      </c>
      <c r="C39" s="208"/>
      <c r="D39" s="208"/>
      <c r="E39" s="208"/>
      <c r="F39" s="208"/>
      <c r="G39" s="208"/>
      <c r="H39" s="208"/>
      <c r="I39" s="208"/>
      <c r="J39" s="208"/>
      <c r="K39" s="208"/>
      <c r="L39" s="208"/>
      <c r="M39" s="208"/>
      <c r="N39" s="112"/>
    </row>
    <row r="40" spans="1:14" ht="72" customHeight="1" x14ac:dyDescent="0.25">
      <c r="A40" s="128"/>
      <c r="B40" s="241" t="s">
        <v>26</v>
      </c>
      <c r="C40" s="241"/>
      <c r="D40" s="241"/>
      <c r="E40" s="241"/>
      <c r="F40" s="241"/>
      <c r="G40" s="241"/>
      <c r="H40" s="241"/>
      <c r="I40" s="241"/>
      <c r="J40" s="241"/>
      <c r="K40" s="241"/>
      <c r="L40" s="241"/>
      <c r="M40" s="241"/>
      <c r="N40" s="112"/>
    </row>
    <row r="41" spans="1:14" ht="12.75" customHeight="1" x14ac:dyDescent="0.25">
      <c r="A41" s="128"/>
      <c r="B41" s="208"/>
      <c r="C41" s="208"/>
      <c r="D41" s="208"/>
      <c r="E41" s="208"/>
      <c r="F41" s="208"/>
      <c r="G41" s="208"/>
      <c r="H41" s="208"/>
      <c r="I41" s="208"/>
      <c r="J41" s="208"/>
      <c r="K41" s="208"/>
      <c r="L41" s="208"/>
      <c r="M41" s="208"/>
      <c r="N41" s="112"/>
    </row>
    <row r="42" spans="1:14" ht="18" x14ac:dyDescent="0.25">
      <c r="A42" s="128"/>
      <c r="B42" s="117" t="s">
        <v>27</v>
      </c>
      <c r="C42" s="208"/>
      <c r="D42" s="208"/>
      <c r="E42" s="208"/>
      <c r="F42" s="208"/>
      <c r="G42" s="208"/>
      <c r="H42" s="208"/>
      <c r="I42" s="208"/>
      <c r="J42" s="208"/>
      <c r="K42" s="208"/>
      <c r="L42" s="208"/>
      <c r="M42" s="208"/>
      <c r="N42" s="112"/>
    </row>
    <row r="43" spans="1:14" x14ac:dyDescent="0.25">
      <c r="A43" s="128"/>
      <c r="B43" s="208"/>
      <c r="C43" s="208"/>
      <c r="D43" s="208"/>
      <c r="E43" s="208"/>
      <c r="F43" s="208"/>
      <c r="G43" s="208"/>
      <c r="H43" s="208"/>
      <c r="I43" s="208"/>
      <c r="J43" s="208"/>
      <c r="K43" s="208"/>
      <c r="L43" s="208"/>
      <c r="M43" s="208"/>
      <c r="N43" s="112"/>
    </row>
    <row r="44" spans="1:14" x14ac:dyDescent="0.25">
      <c r="A44" s="128"/>
      <c r="B44" s="237" t="s">
        <v>28</v>
      </c>
      <c r="C44" s="238"/>
      <c r="D44" s="238"/>
      <c r="E44" s="238"/>
      <c r="F44" s="238"/>
      <c r="G44" s="238"/>
      <c r="H44" s="238"/>
      <c r="I44" s="238"/>
      <c r="J44" s="238"/>
      <c r="K44" s="238"/>
      <c r="L44" s="238"/>
      <c r="M44" s="238"/>
      <c r="N44" s="112"/>
    </row>
    <row r="45" spans="1:14" ht="9" customHeight="1" x14ac:dyDescent="0.25">
      <c r="A45" s="128"/>
      <c r="B45" s="208"/>
      <c r="C45" s="208"/>
      <c r="D45" s="208"/>
      <c r="E45" s="208"/>
      <c r="F45" s="208"/>
      <c r="G45" s="208"/>
      <c r="H45" s="208"/>
      <c r="I45" s="208"/>
      <c r="J45" s="208"/>
      <c r="K45" s="208"/>
      <c r="L45" s="208"/>
      <c r="M45" s="208"/>
      <c r="N45" s="112"/>
    </row>
    <row r="46" spans="1:14" x14ac:dyDescent="0.25">
      <c r="A46" s="128"/>
      <c r="B46" s="244" t="s">
        <v>29</v>
      </c>
      <c r="C46" s="245"/>
      <c r="D46" s="245"/>
      <c r="E46" s="245"/>
      <c r="F46" s="245"/>
      <c r="G46" s="245"/>
      <c r="H46" s="245"/>
      <c r="I46" s="245"/>
      <c r="J46" s="245"/>
      <c r="K46" s="245"/>
      <c r="L46" s="245"/>
      <c r="M46" s="245"/>
      <c r="N46" s="112"/>
    </row>
    <row r="47" spans="1:14" ht="45" customHeight="1" x14ac:dyDescent="0.25">
      <c r="A47" s="128"/>
      <c r="B47" s="246" t="s">
        <v>30</v>
      </c>
      <c r="C47" s="246"/>
      <c r="D47" s="246"/>
      <c r="E47" s="246"/>
      <c r="F47" s="246"/>
      <c r="G47" s="246"/>
      <c r="H47" s="246"/>
      <c r="I47" s="246"/>
      <c r="J47" s="246"/>
      <c r="K47" s="246"/>
      <c r="L47" s="246"/>
      <c r="M47" s="246"/>
      <c r="N47" s="112"/>
    </row>
    <row r="48" spans="1:14" ht="43.5" customHeight="1" x14ac:dyDescent="0.25">
      <c r="A48" s="128"/>
      <c r="B48" s="246" t="s">
        <v>31</v>
      </c>
      <c r="C48" s="246"/>
      <c r="D48" s="246"/>
      <c r="E48" s="246"/>
      <c r="F48" s="246"/>
      <c r="G48" s="246"/>
      <c r="H48" s="246"/>
      <c r="I48" s="246"/>
      <c r="J48" s="246"/>
      <c r="K48" s="246"/>
      <c r="L48" s="246"/>
      <c r="M48" s="246"/>
      <c r="N48" s="112"/>
    </row>
    <row r="49" spans="1:14" ht="15.75" customHeight="1" x14ac:dyDescent="0.25">
      <c r="A49" s="128"/>
      <c r="B49" s="246" t="s">
        <v>32</v>
      </c>
      <c r="C49" s="246"/>
      <c r="D49" s="246"/>
      <c r="E49" s="246"/>
      <c r="F49" s="246"/>
      <c r="G49" s="246"/>
      <c r="H49" s="246"/>
      <c r="I49" s="246"/>
      <c r="J49" s="246"/>
      <c r="K49" s="246"/>
      <c r="L49" s="246"/>
      <c r="M49" s="246"/>
      <c r="N49" s="112"/>
    </row>
    <row r="50" spans="1:14" ht="90" customHeight="1" x14ac:dyDescent="0.25">
      <c r="A50" s="128"/>
      <c r="B50" s="246" t="s">
        <v>33</v>
      </c>
      <c r="C50" s="246"/>
      <c r="D50" s="246"/>
      <c r="E50" s="246"/>
      <c r="F50" s="246"/>
      <c r="G50" s="246"/>
      <c r="H50" s="246"/>
      <c r="I50" s="246"/>
      <c r="J50" s="246"/>
      <c r="K50" s="246"/>
      <c r="L50" s="246"/>
      <c r="M50" s="246"/>
      <c r="N50" s="112"/>
    </row>
    <row r="51" spans="1:14" ht="33.75" customHeight="1" x14ac:dyDescent="0.25">
      <c r="B51" s="242" t="s">
        <v>34</v>
      </c>
      <c r="C51" s="243"/>
      <c r="D51" s="243"/>
      <c r="E51" s="243"/>
      <c r="F51" s="243"/>
      <c r="G51" s="243"/>
      <c r="H51" s="243"/>
      <c r="I51" s="243"/>
      <c r="J51" s="243"/>
      <c r="K51" s="243"/>
      <c r="L51" s="243"/>
      <c r="M51" s="243"/>
      <c r="N51" s="112"/>
    </row>
    <row r="52" spans="1:14" ht="46.5" customHeight="1" x14ac:dyDescent="0.25">
      <c r="B52" s="247" t="s">
        <v>35</v>
      </c>
      <c r="C52" s="248"/>
      <c r="D52" s="248"/>
      <c r="E52" s="248"/>
      <c r="F52" s="248"/>
      <c r="G52" s="248"/>
      <c r="H52" s="248"/>
      <c r="I52" s="248"/>
      <c r="J52" s="248"/>
      <c r="K52" s="248"/>
      <c r="L52" s="248"/>
      <c r="M52" s="248"/>
      <c r="N52" s="112"/>
    </row>
    <row r="53" spans="1:14" ht="61.5" customHeight="1" x14ac:dyDescent="0.25">
      <c r="B53" s="247" t="s">
        <v>36</v>
      </c>
      <c r="C53" s="248"/>
      <c r="D53" s="248"/>
      <c r="E53" s="248"/>
      <c r="F53" s="248"/>
      <c r="G53" s="248"/>
      <c r="H53" s="248"/>
      <c r="I53" s="248"/>
      <c r="J53" s="248"/>
      <c r="K53" s="248"/>
      <c r="L53" s="248"/>
      <c r="M53" s="248"/>
      <c r="N53" s="112"/>
    </row>
    <row r="54" spans="1:14" x14ac:dyDescent="0.25">
      <c r="B54" s="244" t="s">
        <v>37</v>
      </c>
      <c r="C54" s="245"/>
      <c r="D54" s="245"/>
      <c r="E54" s="245"/>
      <c r="F54" s="245"/>
      <c r="G54" s="245"/>
      <c r="H54" s="245"/>
      <c r="I54" s="245"/>
      <c r="J54" s="245"/>
      <c r="K54" s="245"/>
      <c r="L54" s="245"/>
      <c r="M54" s="245"/>
      <c r="N54" s="112"/>
    </row>
    <row r="55" spans="1:14" x14ac:dyDescent="0.25">
      <c r="B55" s="195"/>
      <c r="C55" s="208"/>
      <c r="D55" s="208"/>
      <c r="E55" s="208"/>
      <c r="F55" s="208"/>
      <c r="G55" s="208"/>
      <c r="H55" s="208"/>
      <c r="I55" s="208"/>
      <c r="J55" s="208"/>
      <c r="K55" s="208"/>
      <c r="L55" s="208"/>
      <c r="M55" s="208"/>
      <c r="N55" s="112"/>
    </row>
    <row r="56" spans="1:14" ht="33" customHeight="1" x14ac:dyDescent="0.25">
      <c r="B56" s="242" t="s">
        <v>38</v>
      </c>
      <c r="C56" s="243"/>
      <c r="D56" s="243"/>
      <c r="E56" s="243"/>
      <c r="F56" s="243"/>
      <c r="G56" s="243"/>
      <c r="H56" s="243"/>
      <c r="I56" s="243"/>
      <c r="J56" s="243"/>
      <c r="K56" s="243"/>
      <c r="L56" s="243"/>
      <c r="M56" s="243"/>
      <c r="N56" s="112"/>
    </row>
    <row r="57" spans="1:14" x14ac:dyDescent="0.25">
      <c r="B57" s="195" t="s">
        <v>39</v>
      </c>
      <c r="C57" s="208"/>
      <c r="D57" s="208"/>
      <c r="E57" s="208"/>
      <c r="F57" s="208"/>
      <c r="G57" s="208"/>
      <c r="H57" s="208"/>
      <c r="I57" s="208"/>
      <c r="J57" s="208"/>
      <c r="K57" s="208"/>
      <c r="L57" s="208"/>
      <c r="M57" s="208"/>
      <c r="N57" s="112"/>
    </row>
    <row r="58" spans="1:14" ht="47.25" customHeight="1" x14ac:dyDescent="0.25">
      <c r="B58" s="247" t="s">
        <v>40</v>
      </c>
      <c r="C58" s="248"/>
      <c r="D58" s="248"/>
      <c r="E58" s="248"/>
      <c r="F58" s="248"/>
      <c r="G58" s="248"/>
      <c r="H58" s="248"/>
      <c r="I58" s="248"/>
      <c r="J58" s="248"/>
      <c r="K58" s="248"/>
      <c r="L58" s="248"/>
      <c r="M58" s="248"/>
      <c r="N58" s="112"/>
    </row>
    <row r="59" spans="1:14" x14ac:dyDescent="0.25">
      <c r="B59" s="195" t="s">
        <v>41</v>
      </c>
      <c r="C59" s="208"/>
      <c r="D59" s="208"/>
      <c r="E59" s="208"/>
      <c r="F59" s="208"/>
      <c r="G59" s="208"/>
      <c r="H59" s="208"/>
      <c r="I59" s="208"/>
      <c r="J59" s="208"/>
      <c r="K59" s="208"/>
      <c r="L59" s="208"/>
      <c r="M59" s="208"/>
      <c r="N59" s="112"/>
    </row>
    <row r="60" spans="1:14" x14ac:dyDescent="0.25">
      <c r="B60" s="195"/>
      <c r="C60" s="208"/>
      <c r="D60" s="208"/>
      <c r="E60" s="208"/>
      <c r="F60" s="208"/>
      <c r="G60" s="208"/>
      <c r="H60" s="208"/>
      <c r="I60" s="208"/>
      <c r="J60" s="208"/>
      <c r="K60" s="208"/>
      <c r="L60" s="208"/>
      <c r="M60" s="208"/>
      <c r="N60" s="112"/>
    </row>
    <row r="61" spans="1:14" ht="33" customHeight="1" x14ac:dyDescent="0.25">
      <c r="B61" s="242" t="s">
        <v>42</v>
      </c>
      <c r="C61" s="243"/>
      <c r="D61" s="243"/>
      <c r="E61" s="243"/>
      <c r="F61" s="243"/>
      <c r="G61" s="243"/>
      <c r="H61" s="243"/>
      <c r="I61" s="243"/>
      <c r="J61" s="243"/>
      <c r="K61" s="243"/>
      <c r="L61" s="243"/>
      <c r="M61" s="243"/>
      <c r="N61" s="112"/>
    </row>
    <row r="62" spans="1:14" x14ac:dyDescent="0.25">
      <c r="B62" s="244" t="s">
        <v>43</v>
      </c>
      <c r="C62" s="245"/>
      <c r="D62" s="245"/>
      <c r="E62" s="245"/>
      <c r="F62" s="245"/>
      <c r="G62" s="245"/>
      <c r="H62" s="245"/>
      <c r="I62" s="245"/>
      <c r="J62" s="245"/>
      <c r="K62" s="245"/>
      <c r="L62" s="245"/>
      <c r="M62" s="245"/>
      <c r="N62" s="112"/>
    </row>
    <row r="63" spans="1:14" x14ac:dyDescent="0.25">
      <c r="B63" s="244" t="s">
        <v>44</v>
      </c>
      <c r="C63" s="245"/>
      <c r="D63" s="245"/>
      <c r="E63" s="245"/>
      <c r="F63" s="245"/>
      <c r="G63" s="245"/>
      <c r="H63" s="245"/>
      <c r="I63" s="245"/>
      <c r="J63" s="245"/>
      <c r="K63" s="245"/>
      <c r="L63" s="245"/>
      <c r="M63" s="245"/>
      <c r="N63" s="112"/>
    </row>
    <row r="64" spans="1:14" ht="32.25" customHeight="1" x14ac:dyDescent="0.25">
      <c r="B64" s="247" t="s">
        <v>45</v>
      </c>
      <c r="C64" s="248"/>
      <c r="D64" s="248"/>
      <c r="E64" s="248"/>
      <c r="F64" s="248"/>
      <c r="G64" s="248"/>
      <c r="H64" s="248"/>
      <c r="I64" s="248"/>
      <c r="J64" s="248"/>
      <c r="K64" s="248"/>
      <c r="L64" s="248"/>
      <c r="M64" s="248"/>
      <c r="N64" s="112"/>
    </row>
    <row r="65" spans="2:14" ht="16.5" customHeight="1" x14ac:dyDescent="0.25">
      <c r="B65" s="194"/>
      <c r="C65" s="209"/>
      <c r="D65" s="209"/>
      <c r="E65" s="209"/>
      <c r="F65" s="209"/>
      <c r="G65" s="209"/>
      <c r="H65" s="209"/>
      <c r="I65" s="209"/>
      <c r="J65" s="209"/>
      <c r="K65" s="209"/>
      <c r="L65" s="209"/>
      <c r="M65" s="209"/>
      <c r="N65" s="112"/>
    </row>
    <row r="66" spans="2:14" x14ac:dyDescent="0.25">
      <c r="B66" s="242" t="s">
        <v>46</v>
      </c>
      <c r="C66" s="243"/>
      <c r="D66" s="243"/>
      <c r="E66" s="243"/>
      <c r="F66" s="243"/>
      <c r="G66" s="243"/>
      <c r="H66" s="243"/>
      <c r="I66" s="243"/>
      <c r="J66" s="243"/>
      <c r="K66" s="243"/>
      <c r="L66" s="243"/>
      <c r="M66" s="243"/>
      <c r="N66" s="112"/>
    </row>
    <row r="67" spans="2:14" ht="32.25" customHeight="1" x14ac:dyDescent="0.25">
      <c r="B67" s="194"/>
      <c r="C67" s="209"/>
      <c r="D67" s="209"/>
      <c r="E67" s="209"/>
      <c r="F67" s="209"/>
      <c r="G67" s="209"/>
      <c r="H67" s="209"/>
      <c r="I67" s="209"/>
      <c r="J67" s="209"/>
      <c r="K67" s="209"/>
      <c r="L67" s="209"/>
      <c r="M67" s="209"/>
      <c r="N67" s="112"/>
    </row>
    <row r="68" spans="2:14" ht="32.25" customHeight="1" x14ac:dyDescent="0.25">
      <c r="B68" s="194"/>
      <c r="C68" s="209"/>
      <c r="D68" s="209"/>
      <c r="E68" s="209"/>
      <c r="F68" s="209"/>
      <c r="G68" s="209"/>
      <c r="H68" s="209"/>
      <c r="I68" s="209"/>
      <c r="J68" s="209"/>
      <c r="K68" s="209"/>
      <c r="L68" s="209"/>
      <c r="M68" s="209"/>
      <c r="N68" s="112"/>
    </row>
    <row r="69" spans="2:14" ht="32.25" customHeight="1" x14ac:dyDescent="0.25">
      <c r="B69" s="194"/>
      <c r="C69" s="209"/>
      <c r="D69" s="209"/>
      <c r="E69" s="209"/>
      <c r="F69" s="209"/>
      <c r="G69" s="209"/>
      <c r="H69" s="209"/>
      <c r="I69" s="209"/>
      <c r="J69" s="209"/>
      <c r="K69" s="209"/>
      <c r="L69" s="209"/>
      <c r="M69" s="209"/>
      <c r="N69" s="112"/>
    </row>
    <row r="70" spans="2:14" ht="32.25" customHeight="1" x14ac:dyDescent="0.25">
      <c r="B70" s="194"/>
      <c r="C70" s="209"/>
      <c r="D70" s="209"/>
      <c r="E70" s="209"/>
      <c r="F70" s="209"/>
      <c r="G70" s="209"/>
      <c r="H70" s="209"/>
      <c r="I70" s="209"/>
      <c r="J70" s="209"/>
      <c r="K70" s="209"/>
      <c r="L70" s="209"/>
      <c r="M70" s="209"/>
      <c r="N70" s="112"/>
    </row>
    <row r="71" spans="2:14" ht="32.25" customHeight="1" x14ac:dyDescent="0.25">
      <c r="B71" s="194"/>
      <c r="C71" s="209"/>
      <c r="D71" s="209"/>
      <c r="E71" s="209"/>
      <c r="F71" s="209"/>
      <c r="G71" s="209"/>
      <c r="H71" s="209"/>
      <c r="I71" s="209"/>
      <c r="J71" s="209"/>
      <c r="K71" s="209"/>
      <c r="L71" s="209"/>
      <c r="M71" s="209"/>
      <c r="N71" s="112"/>
    </row>
    <row r="72" spans="2:14" ht="18" x14ac:dyDescent="0.25">
      <c r="B72" s="249" t="s">
        <v>47</v>
      </c>
      <c r="C72" s="250"/>
      <c r="D72" s="250"/>
      <c r="E72" s="250"/>
      <c r="F72" s="250"/>
      <c r="G72" s="250"/>
      <c r="H72" s="250"/>
      <c r="I72" s="250"/>
      <c r="J72" s="250"/>
      <c r="K72" s="250"/>
      <c r="L72" s="250"/>
      <c r="M72" s="250"/>
      <c r="N72" s="112"/>
    </row>
    <row r="73" spans="2:14" x14ac:dyDescent="0.25">
      <c r="B73" s="195"/>
      <c r="C73" s="208"/>
      <c r="D73" s="208"/>
      <c r="E73" s="208"/>
      <c r="F73" s="208"/>
      <c r="G73" s="208"/>
      <c r="H73" s="208"/>
      <c r="I73" s="208"/>
      <c r="J73" s="208"/>
      <c r="K73" s="208"/>
      <c r="L73" s="208"/>
      <c r="M73" s="208"/>
      <c r="N73" s="112"/>
    </row>
    <row r="74" spans="2:14" x14ac:dyDescent="0.25">
      <c r="B74" s="242" t="s">
        <v>48</v>
      </c>
      <c r="C74" s="243"/>
      <c r="D74" s="243"/>
      <c r="E74" s="243"/>
      <c r="F74" s="243"/>
      <c r="G74" s="243"/>
      <c r="H74" s="243"/>
      <c r="I74" s="243"/>
      <c r="J74" s="243"/>
      <c r="K74" s="243"/>
      <c r="L74" s="243"/>
      <c r="M74" s="243"/>
      <c r="N74" s="251"/>
    </row>
    <row r="75" spans="2:14" x14ac:dyDescent="0.25">
      <c r="B75" s="195" t="s">
        <v>49</v>
      </c>
      <c r="C75" s="208"/>
      <c r="D75" s="252" t="s">
        <v>50</v>
      </c>
      <c r="E75" s="252"/>
      <c r="F75" s="252"/>
      <c r="G75" s="252"/>
      <c r="H75" s="252"/>
      <c r="I75" s="252"/>
      <c r="J75" s="208"/>
      <c r="K75" s="208"/>
      <c r="L75" s="208"/>
      <c r="M75" s="208"/>
      <c r="N75" s="112"/>
    </row>
    <row r="76" spans="2:14" ht="27.75" customHeight="1" x14ac:dyDescent="0.25">
      <c r="B76" s="247" t="s">
        <v>51</v>
      </c>
      <c r="C76" s="248"/>
      <c r="D76" s="248"/>
      <c r="E76" s="248"/>
      <c r="F76" s="248"/>
      <c r="G76" s="248"/>
      <c r="H76" s="248"/>
      <c r="I76" s="248"/>
      <c r="J76" s="248"/>
      <c r="K76" s="248"/>
      <c r="L76" s="248"/>
      <c r="M76" s="248"/>
      <c r="N76" s="112"/>
    </row>
    <row r="77" spans="2:14" ht="29.25" customHeight="1" x14ac:dyDescent="0.25">
      <c r="B77" s="247" t="s">
        <v>52</v>
      </c>
      <c r="C77" s="248"/>
      <c r="D77" s="248"/>
      <c r="E77" s="248"/>
      <c r="F77" s="248"/>
      <c r="G77" s="248"/>
      <c r="H77" s="248"/>
      <c r="I77" s="248"/>
      <c r="J77" s="248"/>
      <c r="K77" s="248"/>
      <c r="L77" s="248"/>
      <c r="M77" s="248"/>
      <c r="N77" s="112"/>
    </row>
    <row r="78" spans="2:14" x14ac:dyDescent="0.25">
      <c r="B78" s="195" t="s">
        <v>53</v>
      </c>
      <c r="C78" s="208"/>
      <c r="D78" s="208"/>
      <c r="E78" s="208"/>
      <c r="F78" s="208"/>
      <c r="G78" s="208"/>
      <c r="H78" s="208"/>
      <c r="I78" s="208"/>
      <c r="J78" s="208"/>
      <c r="K78" s="208"/>
      <c r="L78" s="208"/>
      <c r="M78" s="208"/>
      <c r="N78" s="112"/>
    </row>
    <row r="79" spans="2:14" x14ac:dyDescent="0.25">
      <c r="B79" s="195"/>
      <c r="C79" s="208"/>
      <c r="D79" s="208"/>
      <c r="E79" s="208"/>
      <c r="F79" s="208"/>
      <c r="G79" s="208"/>
      <c r="H79" s="208"/>
      <c r="I79" s="208"/>
      <c r="J79" s="208"/>
      <c r="K79" s="208"/>
      <c r="L79" s="208"/>
      <c r="M79" s="208"/>
      <c r="N79" s="112"/>
    </row>
    <row r="80" spans="2:14" x14ac:dyDescent="0.25">
      <c r="B80" s="242" t="s">
        <v>54</v>
      </c>
      <c r="C80" s="243"/>
      <c r="D80" s="243"/>
      <c r="E80" s="243"/>
      <c r="F80" s="243"/>
      <c r="G80" s="243"/>
      <c r="H80" s="243"/>
      <c r="I80" s="243"/>
      <c r="J80" s="243"/>
      <c r="K80" s="243"/>
      <c r="L80" s="243"/>
      <c r="M80" s="243"/>
      <c r="N80" s="251"/>
    </row>
    <row r="81" spans="2:14" x14ac:dyDescent="0.25">
      <c r="B81" s="195" t="s">
        <v>55</v>
      </c>
      <c r="C81" s="208"/>
      <c r="D81" s="253" t="s">
        <v>56</v>
      </c>
      <c r="E81" s="253"/>
      <c r="F81" s="253"/>
      <c r="G81" s="253"/>
      <c r="H81" s="253"/>
      <c r="I81" s="208"/>
      <c r="J81" s="208"/>
      <c r="K81" s="208"/>
      <c r="L81" s="208"/>
      <c r="M81" s="208"/>
      <c r="N81" s="112"/>
    </row>
    <row r="82" spans="2:14" ht="58.5" customHeight="1" x14ac:dyDescent="0.25">
      <c r="B82" s="247" t="s">
        <v>57</v>
      </c>
      <c r="C82" s="248"/>
      <c r="D82" s="248"/>
      <c r="E82" s="248"/>
      <c r="F82" s="248"/>
      <c r="G82" s="248"/>
      <c r="H82" s="248"/>
      <c r="I82" s="248"/>
      <c r="J82" s="248"/>
      <c r="K82" s="248"/>
      <c r="L82" s="248"/>
      <c r="M82" s="248"/>
      <c r="N82" s="112"/>
    </row>
    <row r="83" spans="2:14" x14ac:dyDescent="0.25">
      <c r="B83" s="195" t="s">
        <v>58</v>
      </c>
      <c r="C83" s="208"/>
      <c r="D83" s="208"/>
      <c r="E83" s="208"/>
      <c r="F83" s="208"/>
      <c r="G83" s="208"/>
      <c r="H83" s="208"/>
      <c r="I83" s="208"/>
      <c r="J83" s="208"/>
      <c r="K83" s="208"/>
      <c r="L83" s="208"/>
      <c r="M83" s="208"/>
      <c r="N83" s="112"/>
    </row>
    <row r="84" spans="2:14" x14ac:dyDescent="0.25">
      <c r="B84" s="195" t="s">
        <v>59</v>
      </c>
      <c r="C84" s="208"/>
      <c r="D84" s="208"/>
      <c r="E84" s="208"/>
      <c r="F84" s="208"/>
      <c r="G84" s="208"/>
      <c r="H84" s="208"/>
      <c r="I84" s="208"/>
      <c r="J84" s="208"/>
      <c r="K84" s="208"/>
      <c r="L84" s="208"/>
      <c r="M84" s="208"/>
      <c r="N84" s="112"/>
    </row>
    <row r="85" spans="2:14" x14ac:dyDescent="0.25">
      <c r="B85" s="195"/>
      <c r="C85" s="208"/>
      <c r="D85" s="208"/>
      <c r="E85" s="208"/>
      <c r="F85" s="208"/>
      <c r="G85" s="208"/>
      <c r="H85" s="208"/>
      <c r="I85" s="208"/>
      <c r="J85" s="208"/>
      <c r="K85" s="208"/>
      <c r="L85" s="208"/>
      <c r="M85" s="208"/>
      <c r="N85" s="112"/>
    </row>
    <row r="86" spans="2:14" ht="31.5" customHeight="1" x14ac:dyDescent="0.25">
      <c r="B86" s="242" t="s">
        <v>60</v>
      </c>
      <c r="C86" s="243"/>
      <c r="D86" s="243"/>
      <c r="E86" s="243"/>
      <c r="F86" s="243"/>
      <c r="G86" s="243"/>
      <c r="H86" s="243"/>
      <c r="I86" s="243"/>
      <c r="J86" s="243"/>
      <c r="K86" s="243"/>
      <c r="L86" s="243"/>
      <c r="M86" s="243"/>
      <c r="N86" s="112"/>
    </row>
    <row r="87" spans="2:14" x14ac:dyDescent="0.25">
      <c r="B87" s="195" t="s">
        <v>49</v>
      </c>
      <c r="C87" s="208"/>
      <c r="D87" s="252" t="s">
        <v>61</v>
      </c>
      <c r="E87" s="252"/>
      <c r="F87" s="252"/>
      <c r="G87" s="252"/>
      <c r="H87" s="252"/>
      <c r="I87" s="208"/>
      <c r="J87" s="208"/>
      <c r="K87" s="208"/>
      <c r="L87" s="208"/>
      <c r="M87" s="208"/>
      <c r="N87" s="112"/>
    </row>
    <row r="88" spans="2:14" x14ac:dyDescent="0.25">
      <c r="B88" s="195" t="s">
        <v>62</v>
      </c>
      <c r="C88" s="208"/>
      <c r="D88" s="208"/>
      <c r="E88" s="208"/>
      <c r="F88" s="208"/>
      <c r="G88" s="208"/>
      <c r="H88" s="208"/>
      <c r="I88" s="208"/>
      <c r="J88" s="208"/>
      <c r="K88" s="208"/>
      <c r="L88" s="208"/>
      <c r="M88" s="208"/>
      <c r="N88" s="112"/>
    </row>
    <row r="89" spans="2:14" ht="28.5" customHeight="1" x14ac:dyDescent="0.25">
      <c r="B89" s="247" t="s">
        <v>63</v>
      </c>
      <c r="C89" s="248"/>
      <c r="D89" s="248"/>
      <c r="E89" s="248"/>
      <c r="F89" s="248"/>
      <c r="G89" s="248"/>
      <c r="H89" s="248"/>
      <c r="I89" s="248"/>
      <c r="J89" s="248"/>
      <c r="K89" s="248"/>
      <c r="L89" s="248"/>
      <c r="M89" s="248"/>
      <c r="N89" s="112"/>
    </row>
    <row r="90" spans="2:14" ht="30" customHeight="1" x14ac:dyDescent="0.25">
      <c r="B90" s="247" t="s">
        <v>64</v>
      </c>
      <c r="C90" s="248"/>
      <c r="D90" s="248"/>
      <c r="E90" s="248"/>
      <c r="F90" s="248"/>
      <c r="G90" s="248"/>
      <c r="H90" s="248"/>
      <c r="I90" s="248"/>
      <c r="J90" s="248"/>
      <c r="K90" s="248"/>
      <c r="L90" s="248"/>
      <c r="M90" s="248"/>
      <c r="N90" s="112"/>
    </row>
    <row r="91" spans="2:14" ht="33.75" customHeight="1" x14ac:dyDescent="0.25">
      <c r="B91" s="247" t="s">
        <v>65</v>
      </c>
      <c r="C91" s="248"/>
      <c r="D91" s="248"/>
      <c r="E91" s="248"/>
      <c r="F91" s="248"/>
      <c r="G91" s="248"/>
      <c r="H91" s="248"/>
      <c r="I91" s="248"/>
      <c r="J91" s="248"/>
      <c r="K91" s="248"/>
      <c r="L91" s="248"/>
      <c r="M91" s="248"/>
      <c r="N91" s="112"/>
    </row>
    <row r="92" spans="2:14" x14ac:dyDescent="0.25">
      <c r="B92" s="195"/>
      <c r="C92" s="208"/>
      <c r="D92" s="208"/>
      <c r="E92" s="208"/>
      <c r="F92" s="208"/>
      <c r="G92" s="208"/>
      <c r="H92" s="208"/>
      <c r="I92" s="208"/>
      <c r="J92" s="208"/>
      <c r="K92" s="208"/>
      <c r="L92" s="208"/>
      <c r="M92" s="208"/>
      <c r="N92" s="112"/>
    </row>
    <row r="93" spans="2:14" x14ac:dyDescent="0.25">
      <c r="B93" s="242" t="s">
        <v>66</v>
      </c>
      <c r="C93" s="243"/>
      <c r="D93" s="243"/>
      <c r="E93" s="243"/>
      <c r="F93" s="243"/>
      <c r="G93" s="243"/>
      <c r="H93" s="243"/>
      <c r="I93" s="243"/>
      <c r="J93" s="243"/>
      <c r="K93" s="243"/>
      <c r="L93" s="243"/>
      <c r="M93" s="243"/>
      <c r="N93" s="251"/>
    </row>
    <row r="94" spans="2:14" x14ac:dyDescent="0.25">
      <c r="B94" s="195" t="s">
        <v>67</v>
      </c>
      <c r="C94" s="208"/>
      <c r="D94" s="252" t="s">
        <v>68</v>
      </c>
      <c r="E94" s="252"/>
      <c r="F94" s="252"/>
      <c r="G94" s="252"/>
      <c r="H94" s="252"/>
      <c r="I94" s="252"/>
      <c r="J94" s="252"/>
      <c r="K94" s="208"/>
      <c r="L94" s="208"/>
      <c r="M94" s="208"/>
      <c r="N94" s="112"/>
    </row>
    <row r="95" spans="2:14" x14ac:dyDescent="0.25">
      <c r="B95" s="244" t="s">
        <v>69</v>
      </c>
      <c r="C95" s="245"/>
      <c r="D95" s="245"/>
      <c r="E95" s="245"/>
      <c r="F95" s="245"/>
      <c r="G95" s="245"/>
      <c r="H95" s="245"/>
      <c r="I95" s="245"/>
      <c r="J95" s="245"/>
      <c r="K95" s="245"/>
      <c r="L95" s="245"/>
      <c r="M95" s="245"/>
      <c r="N95" s="112"/>
    </row>
    <row r="96" spans="2:14" ht="18.75" customHeight="1" x14ac:dyDescent="0.25">
      <c r="B96" s="247" t="s">
        <v>70</v>
      </c>
      <c r="C96" s="248"/>
      <c r="D96" s="248"/>
      <c r="E96" s="248"/>
      <c r="F96" s="248"/>
      <c r="G96" s="248"/>
      <c r="H96" s="248"/>
      <c r="I96" s="248"/>
      <c r="J96" s="248"/>
      <c r="K96" s="248"/>
      <c r="L96" s="248"/>
      <c r="M96" s="248"/>
      <c r="N96" s="112"/>
    </row>
    <row r="97" spans="2:14" x14ac:dyDescent="0.25">
      <c r="B97" s="244" t="s">
        <v>71</v>
      </c>
      <c r="C97" s="245"/>
      <c r="D97" s="245"/>
      <c r="E97" s="245"/>
      <c r="F97" s="245"/>
      <c r="G97" s="245"/>
      <c r="H97" s="245"/>
      <c r="I97" s="245"/>
      <c r="J97" s="245"/>
      <c r="K97" s="245"/>
      <c r="L97" s="245"/>
      <c r="M97" s="245"/>
      <c r="N97" s="112"/>
    </row>
    <row r="98" spans="2:14" ht="15.75" thickBot="1" x14ac:dyDescent="0.3">
      <c r="B98" s="114"/>
      <c r="C98" s="115"/>
      <c r="D98" s="115"/>
      <c r="E98" s="115"/>
      <c r="F98" s="115"/>
      <c r="G98" s="115"/>
      <c r="H98" s="115"/>
      <c r="I98" s="115"/>
      <c r="J98" s="115"/>
      <c r="K98" s="115"/>
      <c r="L98" s="115"/>
      <c r="M98" s="115"/>
      <c r="N98" s="112"/>
    </row>
    <row r="99" spans="2:14" ht="15.75" thickTop="1" x14ac:dyDescent="0.25">
      <c r="B99" s="129"/>
      <c r="C99" s="210"/>
      <c r="D99" s="210"/>
      <c r="E99" s="210"/>
      <c r="F99" s="210"/>
      <c r="G99" s="210"/>
      <c r="H99" s="210"/>
      <c r="I99" s="210"/>
      <c r="J99" s="210"/>
      <c r="K99" s="210"/>
      <c r="L99" s="210"/>
      <c r="M99" s="210"/>
      <c r="N99" s="211"/>
    </row>
    <row r="100" spans="2:14" x14ac:dyDescent="0.25">
      <c r="B100" s="210"/>
      <c r="C100" s="210"/>
      <c r="D100" s="210"/>
      <c r="E100" s="210"/>
      <c r="F100" s="210"/>
      <c r="G100" s="210"/>
      <c r="H100" s="210"/>
      <c r="I100" s="210"/>
      <c r="J100" s="210"/>
      <c r="K100" s="210"/>
      <c r="L100" s="210"/>
      <c r="M100" s="210"/>
    </row>
    <row r="101" spans="2:14" x14ac:dyDescent="0.25">
      <c r="B101" s="210"/>
      <c r="C101" s="210"/>
      <c r="D101" s="210"/>
      <c r="E101" s="210"/>
      <c r="F101" s="210"/>
      <c r="G101" s="210"/>
      <c r="H101" s="210"/>
      <c r="I101" s="210"/>
      <c r="J101" s="210"/>
      <c r="K101" s="210"/>
      <c r="L101" s="210"/>
      <c r="M101" s="210"/>
    </row>
    <row r="102" spans="2:14" x14ac:dyDescent="0.25">
      <c r="B102" s="210"/>
      <c r="C102" s="210"/>
      <c r="D102" s="210"/>
      <c r="E102" s="210"/>
      <c r="F102" s="210"/>
      <c r="G102" s="210"/>
      <c r="H102" s="210"/>
      <c r="I102" s="210"/>
      <c r="J102" s="210"/>
      <c r="K102" s="210"/>
      <c r="L102" s="210"/>
      <c r="M102" s="210"/>
    </row>
    <row r="103" spans="2:14" x14ac:dyDescent="0.25">
      <c r="B103" s="210"/>
      <c r="C103" s="210"/>
      <c r="D103" s="210"/>
      <c r="E103" s="210"/>
      <c r="F103" s="210"/>
      <c r="G103" s="210"/>
      <c r="H103" s="210"/>
      <c r="I103" s="210"/>
      <c r="J103" s="210"/>
      <c r="K103" s="210"/>
      <c r="L103" s="210"/>
      <c r="M103" s="210"/>
    </row>
    <row r="104" spans="2:14" x14ac:dyDescent="0.25">
      <c r="B104" s="210"/>
      <c r="C104" s="210"/>
      <c r="D104" s="210"/>
      <c r="E104" s="210"/>
      <c r="F104" s="210"/>
      <c r="G104" s="210"/>
      <c r="H104" s="210"/>
      <c r="I104" s="210"/>
      <c r="J104" s="210"/>
      <c r="K104" s="210"/>
      <c r="L104" s="210"/>
      <c r="M104" s="210"/>
    </row>
    <row r="105" spans="2:14" x14ac:dyDescent="0.25">
      <c r="B105" s="210"/>
      <c r="C105" s="210"/>
      <c r="D105" s="210"/>
      <c r="E105" s="210"/>
      <c r="F105" s="210"/>
      <c r="G105" s="210"/>
      <c r="H105" s="210"/>
      <c r="I105" s="210"/>
      <c r="J105" s="210"/>
      <c r="K105" s="210"/>
      <c r="L105" s="210"/>
      <c r="M105" s="210"/>
    </row>
    <row r="106" spans="2:14" x14ac:dyDescent="0.25">
      <c r="B106" s="210"/>
      <c r="C106" s="210"/>
      <c r="D106" s="210"/>
      <c r="E106" s="210"/>
      <c r="F106" s="210"/>
      <c r="G106" s="210"/>
      <c r="H106" s="210"/>
      <c r="I106" s="210"/>
      <c r="J106" s="210"/>
      <c r="K106" s="210"/>
      <c r="L106" s="210"/>
      <c r="M106" s="210"/>
    </row>
    <row r="107" spans="2:14" x14ac:dyDescent="0.25">
      <c r="B107" s="210"/>
      <c r="C107" s="210"/>
      <c r="D107" s="210"/>
      <c r="E107" s="210"/>
      <c r="F107" s="210"/>
      <c r="G107" s="210"/>
      <c r="H107" s="210"/>
      <c r="I107" s="210"/>
      <c r="J107" s="210"/>
      <c r="K107" s="210"/>
      <c r="L107" s="210"/>
      <c r="M107" s="210"/>
    </row>
    <row r="108" spans="2:14" x14ac:dyDescent="0.25">
      <c r="B108" s="210"/>
      <c r="C108" s="210"/>
      <c r="D108" s="210"/>
      <c r="E108" s="210"/>
      <c r="F108" s="210"/>
      <c r="G108" s="210"/>
      <c r="H108" s="210"/>
      <c r="I108" s="210"/>
      <c r="J108" s="210"/>
      <c r="K108" s="210"/>
      <c r="L108" s="210"/>
      <c r="M108" s="210"/>
    </row>
    <row r="109" spans="2:14" x14ac:dyDescent="0.25">
      <c r="B109" s="210"/>
      <c r="C109" s="210"/>
      <c r="D109" s="210"/>
      <c r="E109" s="210"/>
      <c r="F109" s="210"/>
      <c r="G109" s="210"/>
      <c r="H109" s="210"/>
      <c r="I109" s="210"/>
      <c r="J109" s="210"/>
      <c r="K109" s="210"/>
      <c r="L109" s="210"/>
      <c r="M109" s="210"/>
    </row>
    <row r="110" spans="2:14" x14ac:dyDescent="0.25">
      <c r="B110" s="210"/>
      <c r="C110" s="210"/>
      <c r="D110" s="210"/>
      <c r="E110" s="210"/>
      <c r="F110" s="210"/>
      <c r="G110" s="210"/>
      <c r="H110" s="210"/>
      <c r="I110" s="210"/>
      <c r="J110" s="210"/>
      <c r="K110" s="210"/>
      <c r="L110" s="210"/>
      <c r="M110" s="210"/>
    </row>
    <row r="111" spans="2:14" x14ac:dyDescent="0.25">
      <c r="B111" s="210"/>
      <c r="C111" s="210"/>
      <c r="D111" s="210"/>
      <c r="E111" s="210"/>
      <c r="F111" s="210"/>
      <c r="G111" s="210"/>
      <c r="H111" s="210"/>
      <c r="I111" s="210"/>
      <c r="J111" s="210"/>
      <c r="K111" s="210"/>
      <c r="L111" s="210"/>
      <c r="M111" s="210"/>
    </row>
    <row r="112" spans="2:14" x14ac:dyDescent="0.25">
      <c r="B112" s="210"/>
      <c r="C112" s="210"/>
      <c r="D112" s="210"/>
      <c r="E112" s="210"/>
      <c r="F112" s="210"/>
      <c r="G112" s="210"/>
      <c r="H112" s="210"/>
      <c r="I112" s="210"/>
      <c r="J112" s="210"/>
      <c r="K112" s="210"/>
      <c r="L112" s="210"/>
      <c r="M112" s="210"/>
    </row>
    <row r="113" spans="2:13" x14ac:dyDescent="0.25">
      <c r="B113" s="210"/>
      <c r="C113" s="210"/>
      <c r="D113" s="210"/>
      <c r="E113" s="210"/>
      <c r="F113" s="210"/>
      <c r="G113" s="210"/>
      <c r="H113" s="210"/>
      <c r="I113" s="210"/>
      <c r="J113" s="210"/>
      <c r="K113" s="210"/>
      <c r="L113" s="210"/>
      <c r="M113" s="210"/>
    </row>
    <row r="114" spans="2:13" x14ac:dyDescent="0.25">
      <c r="B114" s="210"/>
      <c r="C114" s="210"/>
      <c r="D114" s="210"/>
      <c r="E114" s="210"/>
      <c r="F114" s="210"/>
      <c r="G114" s="210"/>
      <c r="H114" s="210"/>
      <c r="I114" s="210"/>
      <c r="J114" s="210"/>
      <c r="K114" s="210"/>
      <c r="L114" s="210"/>
      <c r="M114" s="210"/>
    </row>
    <row r="115" spans="2:13" x14ac:dyDescent="0.25">
      <c r="B115" s="210"/>
      <c r="C115" s="210"/>
      <c r="D115" s="210"/>
      <c r="E115" s="210"/>
      <c r="F115" s="210"/>
      <c r="G115" s="210"/>
      <c r="H115" s="210"/>
      <c r="I115" s="210"/>
      <c r="J115" s="210"/>
      <c r="K115" s="210"/>
      <c r="L115" s="210"/>
      <c r="M115" s="210"/>
    </row>
    <row r="116" spans="2:13" x14ac:dyDescent="0.25">
      <c r="B116" s="210"/>
      <c r="C116" s="210"/>
      <c r="D116" s="210"/>
      <c r="E116" s="210"/>
      <c r="F116" s="210"/>
      <c r="G116" s="210"/>
      <c r="H116" s="210"/>
      <c r="I116" s="210"/>
      <c r="J116" s="210"/>
      <c r="K116" s="210"/>
      <c r="L116" s="210"/>
      <c r="M116" s="210"/>
    </row>
    <row r="117" spans="2:13" x14ac:dyDescent="0.25">
      <c r="B117" s="210"/>
      <c r="C117" s="210"/>
      <c r="D117" s="210"/>
      <c r="E117" s="210"/>
      <c r="F117" s="210"/>
      <c r="G117" s="210"/>
      <c r="H117" s="210"/>
      <c r="I117" s="210"/>
      <c r="J117" s="210"/>
      <c r="K117" s="210"/>
      <c r="L117" s="210"/>
      <c r="M117" s="210"/>
    </row>
    <row r="118" spans="2:13" x14ac:dyDescent="0.25">
      <c r="B118" s="210"/>
      <c r="C118" s="210"/>
      <c r="D118" s="210"/>
      <c r="E118" s="210"/>
      <c r="F118" s="210"/>
      <c r="G118" s="210"/>
      <c r="H118" s="210"/>
      <c r="I118" s="210"/>
      <c r="J118" s="210"/>
      <c r="K118" s="210"/>
      <c r="L118" s="210"/>
      <c r="M118" s="210"/>
    </row>
    <row r="119" spans="2:13" x14ac:dyDescent="0.25">
      <c r="B119" s="210"/>
      <c r="C119" s="210"/>
      <c r="D119" s="210"/>
      <c r="E119" s="210"/>
      <c r="F119" s="210"/>
      <c r="G119" s="210"/>
      <c r="H119" s="210"/>
      <c r="I119" s="210"/>
      <c r="J119" s="210"/>
      <c r="K119" s="210"/>
      <c r="L119" s="210"/>
      <c r="M119" s="210"/>
    </row>
    <row r="120" spans="2:13" x14ac:dyDescent="0.25">
      <c r="B120" s="210"/>
      <c r="C120" s="210"/>
      <c r="D120" s="210"/>
      <c r="E120" s="210"/>
      <c r="F120" s="210"/>
      <c r="G120" s="210"/>
      <c r="H120" s="210"/>
      <c r="I120" s="210"/>
      <c r="J120" s="210"/>
      <c r="K120" s="210"/>
      <c r="L120" s="210"/>
      <c r="M120" s="210"/>
    </row>
    <row r="121" spans="2:13" x14ac:dyDescent="0.25">
      <c r="B121" s="210"/>
      <c r="C121" s="210"/>
      <c r="D121" s="210"/>
      <c r="E121" s="210"/>
      <c r="F121" s="210"/>
      <c r="G121" s="210"/>
      <c r="H121" s="210"/>
      <c r="I121" s="210"/>
      <c r="J121" s="210"/>
      <c r="K121" s="210"/>
      <c r="L121" s="210"/>
      <c r="M121" s="210"/>
    </row>
    <row r="122" spans="2:13" x14ac:dyDescent="0.25">
      <c r="B122" s="210"/>
      <c r="C122" s="210"/>
      <c r="D122" s="210"/>
      <c r="E122" s="210"/>
      <c r="F122" s="210"/>
      <c r="G122" s="210"/>
      <c r="H122" s="210"/>
      <c r="I122" s="210"/>
      <c r="J122" s="210"/>
      <c r="K122" s="210"/>
      <c r="L122" s="210"/>
      <c r="M122" s="210"/>
    </row>
    <row r="123" spans="2:13" x14ac:dyDescent="0.25">
      <c r="B123" s="210"/>
      <c r="C123" s="210"/>
      <c r="D123" s="210"/>
      <c r="E123" s="210"/>
      <c r="F123" s="210"/>
      <c r="G123" s="210"/>
      <c r="H123" s="210"/>
      <c r="I123" s="210"/>
      <c r="J123" s="210"/>
      <c r="K123" s="210"/>
      <c r="L123" s="210"/>
      <c r="M123" s="210"/>
    </row>
    <row r="124" spans="2:13" x14ac:dyDescent="0.25">
      <c r="B124" s="210"/>
      <c r="C124" s="210"/>
      <c r="D124" s="210"/>
      <c r="E124" s="210"/>
      <c r="F124" s="210"/>
      <c r="G124" s="210"/>
      <c r="H124" s="210"/>
      <c r="I124" s="210"/>
      <c r="J124" s="210"/>
      <c r="K124" s="210"/>
      <c r="L124" s="210"/>
      <c r="M124" s="210"/>
    </row>
    <row r="125" spans="2:13" x14ac:dyDescent="0.25">
      <c r="B125" s="210"/>
      <c r="C125" s="210"/>
      <c r="D125" s="210"/>
      <c r="E125" s="210"/>
      <c r="F125" s="210"/>
      <c r="G125" s="210"/>
      <c r="H125" s="210"/>
      <c r="I125" s="210"/>
      <c r="J125" s="210"/>
      <c r="K125" s="210"/>
      <c r="L125" s="210"/>
      <c r="M125" s="210"/>
    </row>
    <row r="126" spans="2:13" x14ac:dyDescent="0.25">
      <c r="B126" s="210"/>
      <c r="C126" s="210"/>
      <c r="D126" s="210"/>
      <c r="E126" s="210"/>
      <c r="F126" s="210"/>
      <c r="G126" s="210"/>
      <c r="H126" s="210"/>
      <c r="I126" s="210"/>
      <c r="J126" s="210"/>
      <c r="K126" s="210"/>
      <c r="L126" s="210"/>
      <c r="M126" s="210"/>
    </row>
    <row r="127" spans="2:13" x14ac:dyDescent="0.25">
      <c r="B127" s="210"/>
      <c r="C127" s="210"/>
      <c r="D127" s="210"/>
      <c r="E127" s="210"/>
      <c r="F127" s="210"/>
      <c r="G127" s="210"/>
      <c r="H127" s="210"/>
      <c r="I127" s="210"/>
      <c r="J127" s="210"/>
      <c r="K127" s="210"/>
      <c r="L127" s="210"/>
      <c r="M127" s="210"/>
    </row>
    <row r="128" spans="2:13" x14ac:dyDescent="0.25">
      <c r="B128" s="210"/>
      <c r="C128" s="210"/>
      <c r="D128" s="210"/>
      <c r="E128" s="210"/>
      <c r="F128" s="210"/>
      <c r="G128" s="210"/>
      <c r="H128" s="210"/>
      <c r="I128" s="210"/>
      <c r="J128" s="210"/>
      <c r="K128" s="210"/>
      <c r="L128" s="210"/>
      <c r="M128" s="210"/>
    </row>
    <row r="129" spans="2:13" x14ac:dyDescent="0.25">
      <c r="B129" s="210"/>
      <c r="C129" s="210"/>
      <c r="D129" s="210"/>
      <c r="E129" s="210"/>
      <c r="F129" s="210"/>
      <c r="G129" s="210"/>
      <c r="H129" s="210"/>
      <c r="I129" s="210"/>
      <c r="J129" s="210"/>
      <c r="K129" s="210"/>
      <c r="L129" s="210"/>
      <c r="M129" s="210"/>
    </row>
    <row r="130" spans="2:13" x14ac:dyDescent="0.25">
      <c r="B130" s="210"/>
      <c r="C130" s="210"/>
      <c r="D130" s="210"/>
      <c r="E130" s="210"/>
      <c r="F130" s="210"/>
      <c r="G130" s="210"/>
      <c r="H130" s="210"/>
      <c r="I130" s="210"/>
      <c r="J130" s="210"/>
      <c r="K130" s="210"/>
      <c r="L130" s="210"/>
      <c r="M130" s="210"/>
    </row>
    <row r="131" spans="2:13" x14ac:dyDescent="0.25">
      <c r="B131" s="210"/>
      <c r="C131" s="210"/>
      <c r="D131" s="210"/>
      <c r="E131" s="210"/>
      <c r="F131" s="210"/>
      <c r="G131" s="210"/>
      <c r="H131" s="210"/>
      <c r="I131" s="210"/>
      <c r="J131" s="210"/>
      <c r="K131" s="210"/>
      <c r="L131" s="210"/>
      <c r="M131" s="210"/>
    </row>
    <row r="132" spans="2:13" x14ac:dyDescent="0.25">
      <c r="B132" s="210"/>
      <c r="C132" s="210"/>
      <c r="D132" s="210"/>
      <c r="E132" s="210"/>
      <c r="F132" s="210"/>
      <c r="G132" s="210"/>
      <c r="H132" s="210"/>
      <c r="I132" s="210"/>
      <c r="J132" s="210"/>
      <c r="K132" s="210"/>
      <c r="L132" s="210"/>
      <c r="M132" s="210"/>
    </row>
    <row r="133" spans="2:13" x14ac:dyDescent="0.25">
      <c r="B133" s="210"/>
      <c r="C133" s="210"/>
      <c r="D133" s="210"/>
      <c r="E133" s="210"/>
      <c r="F133" s="210"/>
      <c r="G133" s="210"/>
      <c r="H133" s="210"/>
      <c r="I133" s="210"/>
      <c r="J133" s="210"/>
      <c r="K133" s="210"/>
      <c r="L133" s="210"/>
      <c r="M133" s="210"/>
    </row>
  </sheetData>
  <sheetProtection algorithmName="SHA-512" hashValue="ZL2679m2c38dVpmYJepwj3Zv+Gw/JBkJLzoY3oCzasKzhgB/DRwQ8njGV/RlYXSeBX5jDAcwr9PtWik/VHptlQ==" saltValue="+WTzlFYL1UTRNi5jaC5B0g==" spinCount="100000" sheet="1"/>
  <mergeCells count="40">
    <mergeCell ref="D94:J94"/>
    <mergeCell ref="B95:M95"/>
    <mergeCell ref="B96:M96"/>
    <mergeCell ref="B97:M97"/>
    <mergeCell ref="B86:M86"/>
    <mergeCell ref="D87:H87"/>
    <mergeCell ref="B89:M89"/>
    <mergeCell ref="B90:M90"/>
    <mergeCell ref="B91:M91"/>
    <mergeCell ref="B93:N93"/>
    <mergeCell ref="B82:M82"/>
    <mergeCell ref="B62:M62"/>
    <mergeCell ref="B63:M63"/>
    <mergeCell ref="B64:M64"/>
    <mergeCell ref="B66:M66"/>
    <mergeCell ref="B72:M72"/>
    <mergeCell ref="B74:N74"/>
    <mergeCell ref="D75:I75"/>
    <mergeCell ref="B76:M76"/>
    <mergeCell ref="B77:M77"/>
    <mergeCell ref="B80:N80"/>
    <mergeCell ref="D81:H81"/>
    <mergeCell ref="B61:M61"/>
    <mergeCell ref="B46:M46"/>
    <mergeCell ref="B47:M47"/>
    <mergeCell ref="B48:M48"/>
    <mergeCell ref="B49:M49"/>
    <mergeCell ref="B50:M50"/>
    <mergeCell ref="B51:M51"/>
    <mergeCell ref="B52:M52"/>
    <mergeCell ref="B53:M53"/>
    <mergeCell ref="B54:M54"/>
    <mergeCell ref="B56:M56"/>
    <mergeCell ref="B58:M58"/>
    <mergeCell ref="B44:M44"/>
    <mergeCell ref="B3:N5"/>
    <mergeCell ref="B7:M7"/>
    <mergeCell ref="B27:M27"/>
    <mergeCell ref="B37:M37"/>
    <mergeCell ref="B40:M40"/>
  </mergeCells>
  <hyperlinks>
    <hyperlink ref="D75" r:id="rId1" xr:uid="{ABB24785-1C96-4B80-8B80-96AB6F3B46C6}"/>
    <hyperlink ref="D81" r:id="rId2" location="." xr:uid="{F2932D70-87E2-48A8-8264-7A75C62731C6}"/>
    <hyperlink ref="D94" r:id="rId3" xr:uid="{79A69443-B5EE-4A42-A7C7-7B855C3935D0}"/>
    <hyperlink ref="D87" r:id="rId4" xr:uid="{492C3185-F120-4AE0-A940-EDD721A49F35}"/>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0F8E3-DC30-4251-8DB2-7803AADAE64F}">
  <dimension ref="B2:M12"/>
  <sheetViews>
    <sheetView showRowColHeaders="0" zoomScaleNormal="100" workbookViewId="0">
      <selection activeCell="D7" sqref="D7:K7"/>
    </sheetView>
  </sheetViews>
  <sheetFormatPr defaultColWidth="9.140625" defaultRowHeight="15" x14ac:dyDescent="0.25"/>
  <cols>
    <col min="1" max="1" width="9.140625" style="127"/>
    <col min="2" max="2" width="3.7109375" style="127" customWidth="1"/>
    <col min="3" max="3" width="30.5703125" style="127" customWidth="1"/>
    <col min="4" max="4" width="11.28515625" style="127" bestFit="1" customWidth="1"/>
    <col min="5" max="10" width="9.140625" style="127"/>
    <col min="11" max="11" width="10.28515625" style="127" customWidth="1"/>
    <col min="12" max="12" width="4.140625" style="127" customWidth="1"/>
    <col min="13" max="16384" width="9.140625" style="127"/>
  </cols>
  <sheetData>
    <row r="2" spans="2:13" ht="15.75" thickBot="1" x14ac:dyDescent="0.3"/>
    <row r="3" spans="2:13" ht="15.75" customHeight="1" thickTop="1" x14ac:dyDescent="0.25">
      <c r="B3" s="222" t="s">
        <v>72</v>
      </c>
      <c r="C3" s="223"/>
      <c r="D3" s="223"/>
      <c r="E3" s="223"/>
      <c r="F3" s="223"/>
      <c r="G3" s="223"/>
      <c r="H3" s="223"/>
      <c r="I3" s="223"/>
      <c r="J3" s="223"/>
      <c r="K3" s="223"/>
      <c r="L3" s="224"/>
    </row>
    <row r="4" spans="2:13" ht="15" customHeight="1" x14ac:dyDescent="0.25">
      <c r="B4" s="225"/>
      <c r="C4" s="226"/>
      <c r="D4" s="226"/>
      <c r="E4" s="226"/>
      <c r="F4" s="226"/>
      <c r="G4" s="226"/>
      <c r="H4" s="226"/>
      <c r="I4" s="226"/>
      <c r="J4" s="226"/>
      <c r="K4" s="226"/>
      <c r="L4" s="227"/>
    </row>
    <row r="5" spans="2:13" ht="15" customHeight="1" x14ac:dyDescent="0.25">
      <c r="B5" s="225"/>
      <c r="C5" s="226"/>
      <c r="D5" s="226"/>
      <c r="E5" s="226"/>
      <c r="F5" s="226"/>
      <c r="G5" s="226"/>
      <c r="H5" s="226"/>
      <c r="I5" s="226"/>
      <c r="J5" s="226"/>
      <c r="K5" s="226"/>
      <c r="L5" s="227"/>
    </row>
    <row r="6" spans="2:13" ht="21" customHeight="1" x14ac:dyDescent="0.25">
      <c r="B6" s="122"/>
      <c r="C6" s="134"/>
      <c r="D6" s="134"/>
      <c r="E6" s="134"/>
      <c r="F6" s="134"/>
      <c r="G6" s="134"/>
      <c r="H6" s="134"/>
      <c r="I6" s="134"/>
      <c r="J6" s="134"/>
      <c r="K6" s="134"/>
      <c r="L6" s="112"/>
    </row>
    <row r="7" spans="2:13" ht="17.25" x14ac:dyDescent="0.25">
      <c r="B7" s="122"/>
      <c r="C7" s="68" t="s">
        <v>73</v>
      </c>
      <c r="D7" s="254"/>
      <c r="E7" s="254"/>
      <c r="F7" s="254"/>
      <c r="G7" s="254"/>
      <c r="H7" s="254"/>
      <c r="I7" s="254"/>
      <c r="J7" s="254"/>
      <c r="K7" s="254"/>
      <c r="L7" s="136"/>
      <c r="M7" s="131"/>
    </row>
    <row r="8" spans="2:13" ht="35.25" customHeight="1" thickBot="1" x14ac:dyDescent="0.3">
      <c r="B8" s="122"/>
      <c r="C8" s="53" t="s">
        <v>74</v>
      </c>
      <c r="D8" s="255"/>
      <c r="E8" s="255"/>
      <c r="F8" s="255"/>
      <c r="G8" s="255"/>
      <c r="H8" s="255"/>
      <c r="I8" s="255"/>
      <c r="J8" s="255"/>
      <c r="K8" s="255"/>
      <c r="L8" s="135"/>
    </row>
    <row r="9" spans="2:13" ht="39.75" customHeight="1" thickBot="1" x14ac:dyDescent="0.3">
      <c r="B9" s="122"/>
      <c r="C9" s="139" t="s">
        <v>75</v>
      </c>
      <c r="D9" s="255"/>
      <c r="E9" s="255"/>
      <c r="F9" s="255"/>
      <c r="G9" s="255"/>
      <c r="H9" s="255"/>
      <c r="I9" s="255"/>
      <c r="J9" s="255"/>
      <c r="K9" s="255"/>
      <c r="L9" s="137"/>
    </row>
    <row r="10" spans="2:13" ht="97.5" customHeight="1" x14ac:dyDescent="0.25">
      <c r="B10" s="122"/>
      <c r="C10" s="140" t="s">
        <v>76</v>
      </c>
      <c r="D10" s="256"/>
      <c r="E10" s="256"/>
      <c r="F10" s="256"/>
      <c r="G10" s="256"/>
      <c r="H10" s="256"/>
      <c r="I10" s="256"/>
      <c r="J10" s="256"/>
      <c r="K10" s="256"/>
      <c r="L10" s="137"/>
    </row>
    <row r="11" spans="2:13" ht="18.75" customHeight="1" thickBot="1" x14ac:dyDescent="0.3">
      <c r="B11" s="138"/>
      <c r="C11" s="125"/>
      <c r="D11" s="125"/>
      <c r="E11" s="125"/>
      <c r="F11" s="125"/>
      <c r="G11" s="125"/>
      <c r="H11" s="125"/>
      <c r="I11" s="125"/>
      <c r="J11" s="125"/>
      <c r="K11" s="125"/>
      <c r="L11" s="126"/>
    </row>
    <row r="12" spans="2:13" ht="15.75" thickTop="1" x14ac:dyDescent="0.25"/>
  </sheetData>
  <sheetProtection algorithmName="SHA-512" hashValue="3gK8a8ExHp/npsAxxMosTactP8wZxDnKuyNRHHsatB2MyeEQPjAZdrYfsmBmxPZjTJPOZ+PlABztkVK4pbveMA==" saltValue="NAIOgQfz17Go01ESMk3k8w==" spinCount="100000" sheet="1" objects="1" scenarios="1" selectLockedCells="1"/>
  <protectedRanges>
    <protectedRange algorithmName="SHA-512" hashValue="SHG10UZqZcCCj1TlE0oMrNwpbuNqhSNbZCwxpw++PI3Kxkmq2fWr9Ho16Rbx5ot4bT8+4oJGur23Sg/eixRu2g==" saltValue="jl/WveE0aj4CwYBOiCOlBg==" spinCount="100000" sqref="D7:K10" name="Range1"/>
  </protectedRanges>
  <mergeCells count="5">
    <mergeCell ref="B3:L5"/>
    <mergeCell ref="D7:K7"/>
    <mergeCell ref="D8:K8"/>
    <mergeCell ref="D9:K9"/>
    <mergeCell ref="D10:K1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5EC83-D5C1-4D5C-99F6-1378213F0706}">
  <dimension ref="A3:N37"/>
  <sheetViews>
    <sheetView showRowColHeaders="0" zoomScaleNormal="100" workbookViewId="0">
      <selection activeCell="D9" sqref="D9"/>
    </sheetView>
  </sheetViews>
  <sheetFormatPr defaultColWidth="9.140625" defaultRowHeight="15" x14ac:dyDescent="0.25"/>
  <cols>
    <col min="1" max="1" width="9.28515625" style="146" customWidth="1"/>
    <col min="2" max="2" width="4.85546875" style="146" customWidth="1"/>
    <col min="3" max="3" width="33.28515625" style="146" customWidth="1"/>
    <col min="4" max="4" width="26.85546875" style="146" customWidth="1"/>
    <col min="5" max="5" width="11.42578125" style="146" customWidth="1"/>
    <col min="6" max="6" width="17.42578125" style="146" customWidth="1"/>
    <col min="7" max="7" width="33.28515625" style="146" customWidth="1"/>
    <col min="8" max="8" width="14.140625" style="146" customWidth="1"/>
    <col min="9" max="9" width="9" style="146" customWidth="1"/>
    <col min="10" max="10" width="2" style="146" customWidth="1"/>
    <col min="11" max="11" width="7.140625" style="146" customWidth="1"/>
    <col min="12" max="16384" width="9.140625" style="146"/>
  </cols>
  <sheetData>
    <row r="3" spans="1:12" x14ac:dyDescent="0.25">
      <c r="A3" s="150"/>
      <c r="B3" s="257" t="s">
        <v>77</v>
      </c>
      <c r="C3" s="258"/>
      <c r="D3" s="258"/>
      <c r="E3" s="258"/>
      <c r="F3" s="258"/>
      <c r="G3" s="258"/>
      <c r="H3" s="258"/>
      <c r="I3" s="258"/>
      <c r="J3" s="259"/>
    </row>
    <row r="4" spans="1:12" x14ac:dyDescent="0.25">
      <c r="A4" s="150"/>
      <c r="B4" s="257"/>
      <c r="C4" s="258"/>
      <c r="D4" s="258"/>
      <c r="E4" s="258"/>
      <c r="F4" s="258"/>
      <c r="G4" s="258"/>
      <c r="H4" s="258"/>
      <c r="I4" s="258"/>
      <c r="J4" s="259"/>
    </row>
    <row r="5" spans="1:12" x14ac:dyDescent="0.25">
      <c r="A5" s="150"/>
      <c r="B5" s="257"/>
      <c r="C5" s="258"/>
      <c r="D5" s="258"/>
      <c r="E5" s="258"/>
      <c r="F5" s="258"/>
      <c r="G5" s="258"/>
      <c r="H5" s="258"/>
      <c r="I5" s="258"/>
      <c r="J5" s="259"/>
    </row>
    <row r="6" spans="1:12" ht="17.25" x14ac:dyDescent="0.25">
      <c r="A6" s="150"/>
      <c r="B6" s="1"/>
      <c r="C6" s="1"/>
      <c r="D6" s="1"/>
      <c r="E6" s="1"/>
      <c r="F6" s="1"/>
      <c r="G6" s="1"/>
      <c r="H6" s="1"/>
      <c r="I6" s="1"/>
      <c r="J6" s="112"/>
      <c r="L6" s="147"/>
    </row>
    <row r="7" spans="1:12" ht="18" customHeight="1" x14ac:dyDescent="0.35">
      <c r="A7" s="150"/>
      <c r="B7" s="1"/>
      <c r="C7" s="262" t="s">
        <v>78</v>
      </c>
      <c r="D7" s="262"/>
      <c r="E7" s="1"/>
      <c r="F7" s="1"/>
      <c r="G7" s="4"/>
      <c r="H7" s="5"/>
      <c r="I7" s="5"/>
      <c r="J7" s="141"/>
      <c r="L7" s="148"/>
    </row>
    <row r="8" spans="1:12" ht="12" customHeight="1" x14ac:dyDescent="0.35">
      <c r="A8" s="150"/>
      <c r="B8" s="1"/>
      <c r="C8" s="1"/>
      <c r="D8" s="1"/>
      <c r="E8" s="1"/>
      <c r="F8" s="1"/>
      <c r="G8" s="3"/>
      <c r="H8" s="3"/>
      <c r="I8" s="3"/>
      <c r="J8" s="142"/>
      <c r="L8" s="148"/>
    </row>
    <row r="9" spans="1:12" ht="22.5" customHeight="1" thickBot="1" x14ac:dyDescent="0.4">
      <c r="A9" s="150"/>
      <c r="B9" s="1"/>
      <c r="C9" s="66" t="s">
        <v>79</v>
      </c>
      <c r="D9" s="105"/>
      <c r="E9" s="1"/>
      <c r="F9" s="1"/>
      <c r="G9" s="1"/>
      <c r="H9" s="77"/>
      <c r="I9" s="3"/>
      <c r="J9" s="142"/>
      <c r="L9" s="148"/>
    </row>
    <row r="10" spans="1:12" ht="21" customHeight="1" thickBot="1" x14ac:dyDescent="0.4">
      <c r="A10" s="150"/>
      <c r="B10" s="1"/>
      <c r="C10" s="65" t="s">
        <v>80</v>
      </c>
      <c r="D10" s="106">
        <v>2.4</v>
      </c>
      <c r="E10" s="6"/>
      <c r="F10" s="6"/>
      <c r="G10" s="261" t="str">
        <f>IFERROR(IF(AND($D$9&lt;DATE(2025,1,1),OR((VLOOKUP($D$13,Lookups!$C$8:$G$92,2,FALSE))&gt;(VLOOKUP($D$13,Lookups!$C$8:$G$92,4,FALSE)),(VLOOKUP($D$13,Lookups!$C$8:$G$92,3,FALSE))&gt;(VLOOKUP($D$13,Lookups!$C$8:$G$92,5,FALSE)))),"A nutrient permit is changing for the selected WwTW as of 01/01/2025. Therefore, two nutrient budgets will be calculated for the loading before and after the 2025 WwTW permit upgrade.",""),"")</f>
        <v/>
      </c>
      <c r="H10" s="77"/>
      <c r="I10" s="3"/>
      <c r="J10" s="142"/>
      <c r="K10" s="147"/>
      <c r="L10" s="149"/>
    </row>
    <row r="11" spans="1:12" ht="30.75" customHeight="1" thickBot="1" x14ac:dyDescent="0.3">
      <c r="A11" s="150"/>
      <c r="B11" s="1"/>
      <c r="C11" s="65" t="s">
        <v>81</v>
      </c>
      <c r="D11" s="107">
        <v>120</v>
      </c>
      <c r="E11" s="7"/>
      <c r="F11" s="7"/>
      <c r="G11" s="261"/>
      <c r="H11" s="77"/>
      <c r="I11" s="7"/>
      <c r="J11" s="135"/>
      <c r="K11" s="148"/>
      <c r="L11" s="149"/>
    </row>
    <row r="12" spans="1:12" ht="36" customHeight="1" thickBot="1" x14ac:dyDescent="0.3">
      <c r="A12" s="150"/>
      <c r="B12" s="1"/>
      <c r="C12" s="65" t="s">
        <v>82</v>
      </c>
      <c r="D12" s="108"/>
      <c r="E12" s="8"/>
      <c r="F12" s="8"/>
      <c r="G12" s="261"/>
      <c r="H12" s="77"/>
      <c r="I12" s="8"/>
      <c r="J12" s="137"/>
      <c r="K12" s="149"/>
    </row>
    <row r="13" spans="1:12" ht="50.25" customHeight="1" thickBot="1" x14ac:dyDescent="0.3">
      <c r="A13" s="150"/>
      <c r="B13" s="1"/>
      <c r="C13" s="67" t="s">
        <v>83</v>
      </c>
      <c r="D13" s="109"/>
      <c r="E13" s="8"/>
      <c r="F13" s="1"/>
      <c r="G13" s="261"/>
      <c r="H13" s="77"/>
      <c r="I13" s="8"/>
      <c r="J13" s="137"/>
      <c r="K13" s="149"/>
    </row>
    <row r="14" spans="1:12" ht="50.25" hidden="1" customHeight="1" thickBot="1" x14ac:dyDescent="0.3">
      <c r="A14" s="150"/>
      <c r="B14" s="1"/>
      <c r="C14" s="15" t="s">
        <v>84</v>
      </c>
      <c r="D14" s="75" t="str">
        <f>(IFERROR(IF(OR(D13="Package Treatment Plant user defined",D13="Septic Tank user defined"),"Please enter value in cell to the right:",IF('Stage 1'!D9&lt;DATE(2025,1,1),VLOOKUP('Stage 1'!D13,Lookups!C8:G95,2,FALSE),VLOOKUP('Stage 1'!D13,Lookups!C8:G94,4,FALSE))),""))</f>
        <v/>
      </c>
      <c r="E14" s="110"/>
      <c r="F14" s="78" t="str">
        <f>IFERROR(IF(AND($D$9&lt;DATE(2025,1,1),(VLOOKUP($D$13,Lookups!$C$8:$G$92,2,FALSE))&gt;(VLOOKUP($D$13,Lookups!$C$8:$G$92,4,FALSE))), "Post 2025 WwTW P permit:",""),"")</f>
        <v/>
      </c>
      <c r="G14" s="80" t="str">
        <f>IFERROR(IF(AND($D$9&lt;DATE(2025,1,1),(VLOOKUP($D$13,Lookups!$C$8:$G$92,2,FALSE))&gt;(VLOOKUP($D$13,Lookups!$C$8:$G$92,4,FALSE))), VLOOKUP('Stage 1'!D13,Lookups!C8:G95,4,FALSE),""),"")</f>
        <v/>
      </c>
      <c r="H14" s="26" t="str">
        <f>IFERROR(IF(AND($D$9&lt;DATE(2025,1,1),(VLOOKUP($D$13,Lookups!$C$8:$G$92,2,FALSE))&gt;(VLOOKUP($D$13,Lookups!$C$8:$G$92,4,FALSE))), "mg TP/litre",""),"")</f>
        <v/>
      </c>
      <c r="I14" s="8"/>
      <c r="J14" s="112"/>
      <c r="K14" s="149"/>
    </row>
    <row r="15" spans="1:12" ht="50.25" customHeight="1" x14ac:dyDescent="0.25">
      <c r="A15" s="150"/>
      <c r="B15" s="1"/>
      <c r="C15" s="64" t="s">
        <v>85</v>
      </c>
      <c r="D15" s="76" t="str">
        <f>IFERROR(IF(OR(D13="Package Treatment Plant user defined",D13="Septic Tank user defined"),"Please enter value in cell to the right:",IF('Stage 1'!D9&lt;DATE(2025,1,1),VLOOKUP('Stage 1'!D13,Lookups!C8:G95, 3,FALSE), VLOOKUP('Stage 1'!D13,Lookups!C8:G94, 5,FALSE))),"")</f>
        <v/>
      </c>
      <c r="E15" s="110">
        <v>15</v>
      </c>
      <c r="F15" s="79" t="str">
        <f>IFERROR(IF(AND($D$9&lt;DATE(2025,1,1),(VLOOKUP($D$13,Lookups!$C$8:$G$92,3,FALSE))&gt;(VLOOKUP($D$13,Lookups!$C$8:$G$92,5,FALSE))), "Post 2025 WwTW N permit:",""),"")</f>
        <v/>
      </c>
      <c r="G15" s="80" t="str">
        <f>IFERROR(IF(AND($D$9&lt;DATE(2025,1,1),(VLOOKUP($D$13,Lookups!$C$8:$G$92,3,FALSE))&gt;(VLOOKUP($D$13,Lookups!$C$8:$G$92,5,FALSE))), VLOOKUP('Stage 1'!D13,Lookups!$C$8:$G$95,5,FALSE),""),"")</f>
        <v/>
      </c>
      <c r="H15" s="26" t="str">
        <f>IFERROR(IF(AND($D$9&lt;DATE(2025,1,1),(VLOOKUP($D$13,Lookups!$C$8:$G$92,3,FALSE))&gt;(VLOOKUP($D$13,Lookups!$C$8:$G$92,5,FALSE))), "mg TN/litre",""),"")</f>
        <v/>
      </c>
      <c r="I15" s="8"/>
      <c r="J15" s="137"/>
      <c r="K15" s="149"/>
    </row>
    <row r="16" spans="1:12" ht="18" customHeight="1" x14ac:dyDescent="0.25">
      <c r="A16" s="150"/>
      <c r="B16" s="1"/>
      <c r="C16" s="1"/>
      <c r="D16" s="1"/>
      <c r="E16" s="1"/>
      <c r="F16" s="1"/>
      <c r="G16" s="1"/>
      <c r="H16" s="1"/>
      <c r="I16" s="1"/>
      <c r="J16" s="112"/>
    </row>
    <row r="17" spans="1:14" ht="18" x14ac:dyDescent="0.25">
      <c r="A17" s="150"/>
      <c r="B17" s="1"/>
      <c r="C17" s="262" t="s">
        <v>86</v>
      </c>
      <c r="D17" s="262"/>
      <c r="E17" s="1"/>
      <c r="F17" s="1"/>
      <c r="G17" s="1"/>
      <c r="H17" s="1"/>
      <c r="I17" s="1"/>
      <c r="J17" s="112"/>
    </row>
    <row r="18" spans="1:14" x14ac:dyDescent="0.25">
      <c r="A18" s="150"/>
      <c r="B18" s="1"/>
      <c r="C18" s="1"/>
      <c r="D18" s="1"/>
      <c r="E18" s="1"/>
      <c r="F18" s="1"/>
      <c r="G18" s="1"/>
      <c r="H18" s="1"/>
      <c r="I18" s="1"/>
      <c r="J18" s="143"/>
    </row>
    <row r="19" spans="1:14" ht="3.75" customHeight="1" x14ac:dyDescent="0.25">
      <c r="A19" s="150"/>
      <c r="B19" s="1"/>
      <c r="C19" s="1"/>
      <c r="D19" s="1"/>
      <c r="E19" s="1"/>
      <c r="F19" s="1"/>
      <c r="G19" s="1"/>
      <c r="H19" s="1"/>
      <c r="I19" s="1"/>
      <c r="J19" s="143"/>
      <c r="N19" s="146" t="s">
        <v>87</v>
      </c>
    </row>
    <row r="20" spans="1:14" ht="17.25" x14ac:dyDescent="0.3">
      <c r="A20" s="150"/>
      <c r="B20" s="1"/>
      <c r="C20" s="260" t="str">
        <f>IFERROR(IF(AND($D$9&lt;DATE(2025,1,1),OR((VLOOKUP($D$13,Lookups!$C$8:$G$92,2,FALSE))&gt;(VLOOKUP($D$13,Lookups!$C$8:$G$92,4,FALSE)),(VLOOKUP($D$13,Lookups!$C$8:$G$92,3,FALSE))&gt;(VLOOKUP($D$13,Lookups!$C$8:$G$92,5,FALSE)))),"Post-2025 Stage 1 Nutrient Loading","Stage 1 Nutrient Loading"),"")</f>
        <v/>
      </c>
      <c r="D20" s="260"/>
      <c r="E20" s="1"/>
      <c r="F20" s="1"/>
      <c r="G20" s="260" t="str">
        <f>IFERROR(IF(AND($D$9&lt;DATE(2025,1,1),OR((VLOOKUP($D$13,Lookups!$C$8:$G$92,2,FALSE))&gt;(VLOOKUP($D$13,Lookups!$C$8:$G$92,4,FALSE)),(VLOOKUP($D$13,Lookups!$C$8:$G$92,3,FALSE))&gt;(VLOOKUP($D$13,Lookups!$C$8:$G$92,5,FALSE)))),"Pre-2025 Stage 1 Nutrient Loading",""),"")</f>
        <v/>
      </c>
      <c r="H20" s="260"/>
      <c r="I20" s="1"/>
      <c r="J20" s="112"/>
    </row>
    <row r="21" spans="1:14" x14ac:dyDescent="0.25">
      <c r="A21" s="150"/>
      <c r="B21" s="1"/>
      <c r="C21" s="1"/>
      <c r="D21" s="1"/>
      <c r="E21" s="1"/>
      <c r="F21" s="1"/>
      <c r="G21" s="1"/>
      <c r="H21" s="1"/>
      <c r="I21" s="1"/>
      <c r="J21" s="143"/>
    </row>
    <row r="22" spans="1:14" ht="17.25" thickBot="1" x14ac:dyDescent="0.35">
      <c r="A22" s="150"/>
      <c r="B22" s="1"/>
      <c r="C22" s="55" t="s">
        <v>88</v>
      </c>
      <c r="D22" s="56" t="str">
        <f>IF(ISBLANK(D12),"",D10*D12)</f>
        <v/>
      </c>
      <c r="E22" s="28" t="s">
        <v>89</v>
      </c>
      <c r="F22" s="1"/>
      <c r="G22" s="19" t="str">
        <f>IFERROR(IF(AND($D$9&lt;DATE(2025,1,1),OR((VLOOKUP($D$13,Lookups!$C$8:$G$92,2,FALSE))&gt;(VLOOKUP($D$13,Lookups!$C$8:$G$92,4,FALSE)),(VLOOKUP($D$13,Lookups!$C$8:$G$92,3,FALSE))&gt;(VLOOKUP($D$13,Lookups!$C$8:$G$92,5,FALSE)))),"Annual wastewater TN load:",""),"")</f>
        <v/>
      </c>
      <c r="H22" s="21" t="str">
        <f>IFERROR(IF(AND($D$9&lt;DATE(2025,1,1),OR((VLOOKUP($D$13,Lookups!$C$8:$G$92,2,FALSE))&gt;(VLOOKUP($D$13,Lookups!$C$8:$G$92,4,FALSE)),(VLOOKUP($D$13,Lookups!$C$8:$G$92,3,FALSE))&gt;(VLOOKUP($D$13,Lookups!$C$8:$G$92,5,FALSE)))),IF(D15=27,(D15*D$23)/1000000*365.25,(D15*D$23*0.9)/1000000*365.25),""),"")</f>
        <v/>
      </c>
      <c r="I22" s="28" t="str">
        <f>IFERROR(IF(AND($D$9&lt;DATE(2025,1,1),OR((VLOOKUP($D$13,Lookups!$C$8:$G$92,2,FALSE))&gt;(VLOOKUP($D$13,Lookups!$C$8:$G$92,4,FALSE)),(VLOOKUP($D$13,Lookups!$C$8:$G$92,3,FALSE))&gt;(VLOOKUP($D$13,Lookups!$C$8:$G$92,5,FALSE)))),"kg TN/yr",""),"")</f>
        <v/>
      </c>
      <c r="J22" s="144"/>
    </row>
    <row r="23" spans="1:14" x14ac:dyDescent="0.25">
      <c r="A23" s="150"/>
      <c r="B23" s="1"/>
      <c r="C23" s="27" t="s">
        <v>90</v>
      </c>
      <c r="D23" s="54" t="str">
        <f>IFERROR(D22*D11,"")</f>
        <v/>
      </c>
      <c r="E23" s="28" t="s">
        <v>91</v>
      </c>
      <c r="F23" s="1"/>
      <c r="G23" s="180"/>
      <c r="H23" s="180"/>
      <c r="I23" s="180"/>
      <c r="J23" s="112"/>
    </row>
    <row r="24" spans="1:14" hidden="1" x14ac:dyDescent="0.25">
      <c r="A24" s="150"/>
      <c r="B24" s="1"/>
      <c r="C24" s="1"/>
      <c r="D24" s="1"/>
      <c r="E24" s="81"/>
      <c r="F24" s="1"/>
      <c r="G24" s="1"/>
      <c r="H24" s="1"/>
      <c r="I24" s="81"/>
      <c r="J24" s="112"/>
    </row>
    <row r="25" spans="1:14" hidden="1" x14ac:dyDescent="0.25">
      <c r="A25" s="150"/>
      <c r="B25" s="1"/>
      <c r="C25" s="1"/>
      <c r="D25" s="1"/>
      <c r="E25" s="81"/>
      <c r="F25" s="1"/>
      <c r="G25" s="84"/>
      <c r="H25" s="84"/>
      <c r="I25" s="85"/>
      <c r="J25" s="145"/>
    </row>
    <row r="26" spans="1:14" ht="15.75" hidden="1" thickBot="1" x14ac:dyDescent="0.3">
      <c r="A26" s="150"/>
      <c r="B26" s="1"/>
      <c r="C26" s="55" t="s">
        <v>92</v>
      </c>
      <c r="D26" s="56" t="str">
        <f>IFERROR(IF(ISNUMBER(G14),G14*D23*0.9,IF(D14="Please enter value in cell to the right:",IF(AND(D14="Please enter value in cell to the right:",ISNUMBER(E14)),D23*E14, VLOOKUP((LEFT(D13,(LEN(D13)-13))&amp;" default"),Lookups!$C$91:$E$92,2,FALSE)*D23),IF(OR(D13="Package Treatment Plant default",D13="Septic Tank default"),D14*D23,IF(D14=8,D14*D23,D14*D23*0.9)))),"")</f>
        <v/>
      </c>
      <c r="E26" s="28" t="s">
        <v>93</v>
      </c>
      <c r="F26" s="1"/>
      <c r="G26" s="86"/>
      <c r="H26" s="84"/>
      <c r="I26" s="84"/>
      <c r="J26" s="145"/>
    </row>
    <row r="27" spans="1:14" ht="15.75" hidden="1" thickBot="1" x14ac:dyDescent="0.3">
      <c r="A27" s="150"/>
      <c r="B27" s="1"/>
      <c r="C27" s="27" t="s">
        <v>94</v>
      </c>
      <c r="D27" s="54" t="str">
        <f>IFERROR($D$26/1000000,"")</f>
        <v/>
      </c>
      <c r="E27" s="28" t="s">
        <v>95</v>
      </c>
      <c r="F27" s="1"/>
      <c r="G27" s="86"/>
      <c r="H27" s="90"/>
      <c r="I27" s="87"/>
      <c r="J27" s="145"/>
    </row>
    <row r="28" spans="1:14" ht="15.75" hidden="1" thickBot="1" x14ac:dyDescent="0.3">
      <c r="A28" s="150"/>
      <c r="B28" s="1"/>
      <c r="C28" s="57" t="s">
        <v>96</v>
      </c>
      <c r="D28" s="59" t="str">
        <f>IFERROR($D$27*365.25,"")</f>
        <v/>
      </c>
      <c r="E28" s="28" t="s">
        <v>97</v>
      </c>
      <c r="F28" s="1"/>
      <c r="G28" s="86"/>
      <c r="H28" s="91"/>
      <c r="I28" s="87"/>
      <c r="J28" s="145"/>
    </row>
    <row r="29" spans="1:14" hidden="1" x14ac:dyDescent="0.25">
      <c r="A29" s="150"/>
      <c r="B29" s="1"/>
      <c r="C29" s="58" t="s">
        <v>98</v>
      </c>
      <c r="D29" s="60" t="str">
        <f>D28</f>
        <v/>
      </c>
      <c r="E29" s="82" t="s">
        <v>97</v>
      </c>
      <c r="F29" s="1"/>
      <c r="G29" s="88"/>
      <c r="H29" s="92"/>
      <c r="I29" s="89"/>
      <c r="J29" s="145"/>
    </row>
    <row r="30" spans="1:14" hidden="1" x14ac:dyDescent="0.25">
      <c r="A30" s="150"/>
      <c r="B30" s="1"/>
      <c r="C30" s="1"/>
      <c r="D30" s="1"/>
      <c r="E30" s="81"/>
      <c r="F30" s="1"/>
      <c r="G30" s="84"/>
      <c r="H30" s="84"/>
      <c r="I30" s="85"/>
      <c r="J30" s="145"/>
    </row>
    <row r="31" spans="1:14" hidden="1" x14ac:dyDescent="0.25">
      <c r="A31" s="150"/>
      <c r="B31" s="1"/>
      <c r="C31" s="1"/>
      <c r="D31" s="1"/>
      <c r="E31" s="81"/>
      <c r="F31" s="1"/>
      <c r="G31" s="84"/>
      <c r="H31" s="84"/>
      <c r="I31" s="85"/>
      <c r="J31" s="145"/>
    </row>
    <row r="32" spans="1:14" ht="15.75" hidden="1" thickBot="1" x14ac:dyDescent="0.3">
      <c r="A32" s="150"/>
      <c r="B32" s="1"/>
      <c r="C32" s="27" t="s">
        <v>99</v>
      </c>
      <c r="D32" s="54" t="str">
        <f>IFERROR(IF(ISNUMBER(G15),G15*D23*0.9,IF(D15="Please enter value in cell to the right:",IF(AND(D15="Please enter value in cell to the right:",ISNUMBER(E15)),D23*E15, VLOOKUP((LEFT(D13,(LEN(D13)-13))&amp;" default"),Lookups!$C$91:$E$92,3,FALSE)*D23),IF(OR(D13="Package Treatment Plant default",D13="Septic Tank default"),D15*D23,IF(D15=27,D15*D23,D15*D23*0.9)))),"")</f>
        <v/>
      </c>
      <c r="E32" s="28" t="s">
        <v>100</v>
      </c>
      <c r="F32" s="1"/>
      <c r="G32" s="86"/>
      <c r="H32" s="90"/>
      <c r="I32" s="87"/>
      <c r="J32" s="145"/>
    </row>
    <row r="33" spans="1:10" ht="15.75" hidden="1" thickBot="1" x14ac:dyDescent="0.3">
      <c r="A33" s="150"/>
      <c r="B33" s="1"/>
      <c r="C33" s="61" t="s">
        <v>101</v>
      </c>
      <c r="D33" s="62" t="str">
        <f>IFERROR($D$32/1000000,"")</f>
        <v/>
      </c>
      <c r="E33" s="28" t="s">
        <v>102</v>
      </c>
      <c r="F33" s="1"/>
      <c r="G33" s="86"/>
      <c r="H33" s="90"/>
      <c r="I33" s="87"/>
      <c r="J33" s="145"/>
    </row>
    <row r="34" spans="1:10" ht="15.75" hidden="1" thickBot="1" x14ac:dyDescent="0.3">
      <c r="A34" s="150"/>
      <c r="B34" s="1"/>
      <c r="C34" s="61" t="s">
        <v>103</v>
      </c>
      <c r="D34" s="63" t="str">
        <f>IFERROR($D$33*365.25,"")</f>
        <v/>
      </c>
      <c r="E34" s="28" t="s">
        <v>104</v>
      </c>
      <c r="F34" s="1"/>
      <c r="G34" s="86"/>
      <c r="H34" s="91"/>
      <c r="I34" s="87"/>
      <c r="J34" s="145"/>
    </row>
    <row r="35" spans="1:10" x14ac:dyDescent="0.25">
      <c r="A35" s="150"/>
      <c r="B35" s="1"/>
      <c r="C35" s="19" t="s">
        <v>105</v>
      </c>
      <c r="D35" s="20" t="str">
        <f>D34</f>
        <v/>
      </c>
      <c r="E35" s="82" t="s">
        <v>104</v>
      </c>
      <c r="F35" s="1"/>
      <c r="G35" s="88"/>
      <c r="H35" s="92"/>
      <c r="I35" s="89"/>
      <c r="J35" s="145"/>
    </row>
    <row r="36" spans="1:10" ht="15.75" thickBot="1" x14ac:dyDescent="0.3">
      <c r="A36" s="150"/>
      <c r="B36" s="138"/>
      <c r="C36" s="125"/>
      <c r="D36" s="125"/>
      <c r="E36" s="125"/>
      <c r="F36" s="125"/>
      <c r="G36" s="125"/>
      <c r="H36" s="125"/>
      <c r="I36" s="125"/>
      <c r="J36" s="126"/>
    </row>
    <row r="37" spans="1:10" ht="15.75" thickTop="1" x14ac:dyDescent="0.25"/>
  </sheetData>
  <sheetProtection algorithmName="SHA-512" hashValue="ZWpXOvSdkBBXxECr6OMBsI8pZ5wFhj7qPOKJT/N7++2ZBEtui27+EFh9RIrwnQMhIU7hXB1TH4w5X2d/zqsC+w==" saltValue="iWL1IJ/mL4Ra4nv2Pzu/qA==" spinCount="100000" sheet="1" selectLockedCells="1"/>
  <protectedRanges>
    <protectedRange algorithmName="SHA-512" hashValue="9eFLYwbQxhpezS4HULhG7iBaGmH5LoseTU2XnhelcWF+/l82pYUC3srt3byn/vuneXy5XFyZVPQbagh6SLqRzQ==" saltValue="CEix3VmL8kRrd4op8qAhjg==" spinCount="100000" sqref="E14:E15 D9:D13" name="Range1"/>
  </protectedRanges>
  <mergeCells count="6">
    <mergeCell ref="B3:J5"/>
    <mergeCell ref="C20:D20"/>
    <mergeCell ref="G20:H20"/>
    <mergeCell ref="G10:G13"/>
    <mergeCell ref="C17:D17"/>
    <mergeCell ref="C7:D7"/>
  </mergeCells>
  <conditionalFormatting sqref="E14:E15">
    <cfRule type="expression" dxfId="8" priority="10">
      <formula>OR(ISNUMBER($D$15),ISBLANK($D$13))</formula>
    </cfRule>
    <cfRule type="expression" dxfId="7" priority="11">
      <formula>($D$15="Please enter value in cell to the right:")</formula>
    </cfRule>
  </conditionalFormatting>
  <conditionalFormatting sqref="G14">
    <cfRule type="expression" dxfId="6" priority="5">
      <formula>ISNUMBER($G$14)</formula>
    </cfRule>
  </conditionalFormatting>
  <conditionalFormatting sqref="G10 H9:H15">
    <cfRule type="expression" dxfId="5" priority="12">
      <formula>_xlfn.ISFORMULA($G$10)</formula>
    </cfRule>
    <cfRule type="expression" dxfId="4" priority="13">
      <formula>ISTEXT($G$10)</formula>
    </cfRule>
  </conditionalFormatting>
  <conditionalFormatting sqref="G15">
    <cfRule type="expression" dxfId="3" priority="4">
      <formula>ISNUMBER($G$15)</formula>
    </cfRule>
  </conditionalFormatting>
  <conditionalFormatting sqref="H22">
    <cfRule type="expression" dxfId="2" priority="1">
      <formula>ISNUMBER(H22)</formula>
    </cfRule>
  </conditionalFormatting>
  <dataValidations count="4">
    <dataValidation type="date" operator="greaterThan" allowBlank="1" showInputMessage="1" showErrorMessage="1" errorTitle="Date Error" error="Please enter a date after 01/01/2022 date in correct dd/mm/yyyy format." prompt="Enter date as dd/mm/yyyy format. " sqref="D9" xr:uid="{515E4566-AFB5-4866-94DE-CB431AAF4C1A}">
      <formula1>44562</formula1>
    </dataValidation>
    <dataValidation type="decimal" operator="greaterThan" showInputMessage="1" showErrorMessage="1" prompt="The average occupancy rate (people per dwelling/unit) should not be edited unless there is sufficient evidence." sqref="D10" xr:uid="{31DEF3BB-E2E5-4E5C-BF5A-2425D3EB9410}">
      <formula1>0</formula1>
    </dataValidation>
    <dataValidation type="whole" operator="greaterThan" showInputMessage="1" showErrorMessage="1" errorTitle="Water usage:" error="Please enter a whole number in litres/person/day" prompt="Keep as 120 unless other efficiency measures are used. " sqref="D11" xr:uid="{A8EA6526-60C6-4C2D-9A44-9CEB14D43876}">
      <formula1>0</formula1>
    </dataValidation>
    <dataValidation type="whole" operator="greaterThan" allowBlank="1" showInputMessage="1" showErrorMessage="1" errorTitle="Development proposal" error="Please ensure that the total number of dwellings is entered as a whole number" prompt="Please enter the total number of dwellings/units that will be within the development site as of the project completion date." sqref="D12" xr:uid="{87F490E9-C1CC-4992-A666-0F3B65B428BF}">
      <formula1>0</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76E0497B-089C-459A-B2E2-C8A2AF71C14C}">
          <x14:formula1>
            <xm:f>'C:\Users\DS56\OneDrive - Ricardo Plc\NE NN\[Copy of Herefordshire Council Phosphate Budget Calculator_Final.xlsx]Stage 2 and 3 lookups'!#REF!</xm:f>
          </x14:formula1>
          <xm:sqref>J8:J10</xm:sqref>
        </x14:dataValidation>
        <x14:dataValidation type="list" allowBlank="1" showInputMessage="1" showErrorMessage="1" xr:uid="{2060F248-1654-4F8C-B1B2-CB874E476D6E}">
          <x14:formula1>
            <xm:f>Lookups!$C$8:$C$94</xm:f>
          </x14:formula1>
          <xm:sqref>D13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8DE7-889B-4390-AD2D-86928A13748B}">
  <dimension ref="A3:J34"/>
  <sheetViews>
    <sheetView showRowColHeaders="0" zoomScaleNormal="100" workbookViewId="0">
      <selection activeCell="C15" sqref="C15"/>
    </sheetView>
  </sheetViews>
  <sheetFormatPr defaultColWidth="9.140625" defaultRowHeight="15" x14ac:dyDescent="0.25"/>
  <cols>
    <col min="1" max="1" width="9.140625" style="127"/>
    <col min="2" max="2" width="4.7109375" style="127" customWidth="1"/>
    <col min="3" max="3" width="32.140625" style="127" customWidth="1"/>
    <col min="4" max="4" width="8.42578125" style="127" bestFit="1" customWidth="1"/>
    <col min="5" max="5" width="21.140625" style="127" customWidth="1"/>
    <col min="6" max="6" width="17.7109375" style="127" hidden="1" customWidth="1"/>
    <col min="7" max="7" width="4" style="127" customWidth="1"/>
    <col min="8" max="8" width="8.140625" style="127" customWidth="1"/>
    <col min="9" max="9" width="9.140625" style="127" customWidth="1"/>
    <col min="10" max="10" width="26.140625" style="127" customWidth="1"/>
    <col min="11" max="16384" width="9.140625" style="127"/>
  </cols>
  <sheetData>
    <row r="3" spans="1:10" x14ac:dyDescent="0.25">
      <c r="A3" s="128"/>
      <c r="B3" s="257" t="s">
        <v>106</v>
      </c>
      <c r="C3" s="258"/>
      <c r="D3" s="258"/>
      <c r="E3" s="258"/>
      <c r="F3" s="258"/>
      <c r="G3" s="259"/>
    </row>
    <row r="4" spans="1:10" x14ac:dyDescent="0.25">
      <c r="A4" s="128"/>
      <c r="B4" s="257"/>
      <c r="C4" s="258"/>
      <c r="D4" s="258"/>
      <c r="E4" s="258"/>
      <c r="F4" s="258"/>
      <c r="G4" s="259"/>
    </row>
    <row r="5" spans="1:10" x14ac:dyDescent="0.25">
      <c r="A5" s="128"/>
      <c r="B5" s="257"/>
      <c r="C5" s="258"/>
      <c r="D5" s="258"/>
      <c r="E5" s="258"/>
      <c r="F5" s="258"/>
      <c r="G5" s="259"/>
    </row>
    <row r="6" spans="1:10" ht="17.25" x14ac:dyDescent="0.25">
      <c r="A6" s="128"/>
      <c r="B6" s="1"/>
      <c r="C6" s="1"/>
      <c r="D6" s="1"/>
      <c r="E6" s="1"/>
      <c r="F6" s="1"/>
      <c r="G6" s="136"/>
    </row>
    <row r="7" spans="1:10" ht="18" customHeight="1" x14ac:dyDescent="0.25">
      <c r="A7" s="128"/>
      <c r="B7" s="1"/>
      <c r="C7" s="266" t="s">
        <v>78</v>
      </c>
      <c r="D7" s="266"/>
      <c r="E7" s="266"/>
      <c r="F7" s="266"/>
      <c r="G7" s="135"/>
    </row>
    <row r="8" spans="1:10" ht="12" customHeight="1" x14ac:dyDescent="0.25">
      <c r="A8" s="128"/>
      <c r="B8" s="1"/>
      <c r="C8" s="1"/>
      <c r="D8" s="1"/>
      <c r="E8" s="1"/>
      <c r="F8" s="1"/>
      <c r="G8" s="135"/>
    </row>
    <row r="9" spans="1:10" ht="17.25" x14ac:dyDescent="0.25">
      <c r="A9" s="128"/>
      <c r="B9" s="1"/>
      <c r="C9" s="264" t="s">
        <v>107</v>
      </c>
      <c r="D9" s="264"/>
      <c r="E9" s="212"/>
      <c r="F9" s="1"/>
      <c r="G9" s="135"/>
    </row>
    <row r="10" spans="1:10" ht="17.25" x14ac:dyDescent="0.25">
      <c r="A10" s="128"/>
      <c r="B10" s="1"/>
      <c r="C10" s="265" t="s">
        <v>108</v>
      </c>
      <c r="D10" s="265"/>
      <c r="E10" s="99"/>
      <c r="F10" s="1"/>
      <c r="G10" s="137"/>
    </row>
    <row r="11" spans="1:10" ht="18" thickBot="1" x14ac:dyDescent="0.3">
      <c r="A11" s="128"/>
      <c r="B11" s="1"/>
      <c r="C11" s="265" t="s">
        <v>109</v>
      </c>
      <c r="D11" s="265"/>
      <c r="E11" s="100"/>
      <c r="F11" s="1"/>
      <c r="G11" s="137"/>
    </row>
    <row r="12" spans="1:10" x14ac:dyDescent="0.25">
      <c r="A12" s="128"/>
      <c r="B12" s="1"/>
      <c r="C12" s="263" t="s">
        <v>110</v>
      </c>
      <c r="D12" s="263"/>
      <c r="E12" s="101"/>
      <c r="F12" s="1"/>
      <c r="G12" s="112"/>
    </row>
    <row r="13" spans="1:10" x14ac:dyDescent="0.25">
      <c r="A13" s="128"/>
      <c r="B13" s="1"/>
      <c r="C13" s="1"/>
      <c r="D13" s="1"/>
      <c r="E13" s="1"/>
      <c r="F13" s="1"/>
      <c r="G13" s="112"/>
    </row>
    <row r="14" spans="1:10" ht="63" customHeight="1" thickBot="1" x14ac:dyDescent="0.3">
      <c r="A14" s="128"/>
      <c r="B14" s="1"/>
      <c r="C14" s="70" t="s">
        <v>111</v>
      </c>
      <c r="D14" s="71" t="s">
        <v>112</v>
      </c>
      <c r="E14" s="72" t="s">
        <v>113</v>
      </c>
      <c r="F14" s="1"/>
      <c r="G14" s="112"/>
    </row>
    <row r="15" spans="1:10" x14ac:dyDescent="0.25">
      <c r="A15" s="128"/>
      <c r="B15" s="1"/>
      <c r="C15" s="192"/>
      <c r="D15" s="190"/>
      <c r="E15" s="170" t="str">
        <f>IF(OR(ISBLANK($C15),ISBLANK($D15),ISBLANK($E$10),ISBLANK($E$11)),"",IFERROR($D15*VLOOKUP((IF(OR($C15="Residential urban land",$C15="Commercial/industrial urban land",$C15="Open urban land",$C15="Greenspace",$C15="Community food growing",$C15="Woodland",$C15="Shrub", $C15="Water"), "|||"&amp;$C15, (VLOOKUP('Stage 2'!$E$9,Lookups!$C$471:$D$476,2,FALSE)&amp;"|"&amp;$C15&amp;"|"&amp;VLOOKUP('Stage 2'!$E$12,Lookups!$C$489:$D$490,2,FALSE)&amp;"|"&amp;VLOOKUP('Stage 2'!$E$11,Lookups!$C$445:$E$467,3,FALSE)&amp;"|"&amp;VLOOKUP($E$10,Lookups!$C$480:$D$485,2,FALSE)))),Lookups!$H$98:$J$441,3,FALSE),
IFERROR(IFERROR($D15*VLOOKUP($C15&amp;"|"&amp;VLOOKUP('Stage 2'!$E$12,Lookups!$C$489:$D$490,2,FALSE)&amp;"|"&amp;VLOOKUP('Stage 2'!$E$11,Lookups!$C$445:$E$467,3,FALSE)&amp;"|"&amp;VLOOKUP($E$10,Lookups!$C$480:$D$485,2,FALSE),Lookups!$H$98:$J$441,3,FALSE),IFERROR($D15*VLOOKUP($C15&amp;"|"&amp;"TRUE"&amp;"|"&amp;VLOOKUP('Stage 2'!$E$11,Lookups!$C$445:$E$467,3,FALSE)&amp;"|"&amp;VLOOKUP($E$10,Lookups!$C$480:$D$485,2,FALSE),Lookups!$H$98:$J$441,3,FALSE),$D15*VLOOKUP($C15&amp;"|"&amp;VLOOKUP('Stage 2'!$E$12,Lookups!$C$489:$D$490,2,FALSE)&amp;"|"&amp;VLOOKUP('Stage 2'!$E$11,Lookups!$C$445:$E$467,3,FALSE)&amp;"|"&amp;"DrainedArGr",Lookups!$H$98:$J$441,3,FALSE))),IFERROR($D15*VLOOKUP($C15&amp;"|"&amp;VLOOKUP('Stage 2'!$E$11,Lookups!$C$445:$E$467,3,FALSE),Lookups!$K$98:$M$433,3,FALSE),$D15*VLOOKUP($C15,Lookups!$D$98:$O$433,12,FALSE)))))</f>
        <v/>
      </c>
      <c r="F15" s="1"/>
      <c r="G15" s="151"/>
      <c r="H15" s="152"/>
      <c r="I15" s="152"/>
      <c r="J15" s="152"/>
    </row>
    <row r="16" spans="1:10" x14ac:dyDescent="0.25">
      <c r="A16" s="128"/>
      <c r="B16" s="1"/>
      <c r="C16" s="102"/>
      <c r="D16" s="103"/>
      <c r="E16" s="170" t="str">
        <f>IF(OR(ISBLANK($C16),ISBLANK($D16),ISBLANK($E$10),ISBLANK($E$11)),"",IFERROR($D16*VLOOKUP((IF(OR($C16="Residential urban land",$C16="Commercial/industrial urban land",$C16="Open urban land",$C16="Greenspace",$C16="Community food growing",$C16="Woodland",$C16="Shrub", $C16="Water"), "|||"&amp;$C16, (VLOOKUP('Stage 2'!$E$9,Lookups!$C$471:$D$476,2,FALSE)&amp;"|"&amp;$C16&amp;"|"&amp;VLOOKUP('Stage 2'!$E$12,Lookups!$C$489:$D$490,2,FALSE)&amp;"|"&amp;VLOOKUP('Stage 2'!$E$11,Lookups!$C$445:$E$467,3,FALSE)&amp;"|"&amp;VLOOKUP($E$10,Lookups!$C$480:$D$485,2,FALSE)))),Lookups!$H$98:$J$441,3,FALSE),
IFERROR(IFERROR($D16*VLOOKUP($C16&amp;"|"&amp;VLOOKUP('Stage 2'!$E$12,Lookups!$C$489:$D$490,2,FALSE)&amp;"|"&amp;VLOOKUP('Stage 2'!$E$11,Lookups!$C$445:$E$467,3,FALSE)&amp;"|"&amp;VLOOKUP($E$10,Lookups!$C$480:$D$485,2,FALSE),Lookups!$H$98:$J$441,3,FALSE),IFERROR($D16*VLOOKUP($C16&amp;"|"&amp;"TRUE"&amp;"|"&amp;VLOOKUP('Stage 2'!$E$11,Lookups!$C$445:$E$467,3,FALSE)&amp;"|"&amp;VLOOKUP($E$10,Lookups!$C$480:$D$485,2,FALSE),Lookups!$H$98:$J$441,3,FALSE),$D16*VLOOKUP($C16&amp;"|"&amp;VLOOKUP('Stage 2'!$E$12,Lookups!$C$489:$D$490,2,FALSE)&amp;"|"&amp;VLOOKUP('Stage 2'!$E$11,Lookups!$C$445:$E$467,3,FALSE)&amp;"|"&amp;"DrainedArGr",Lookups!$H$98:$J$441,3,FALSE))),IFERROR($D16*VLOOKUP($C16&amp;"|"&amp;VLOOKUP('Stage 2'!$E$11,Lookups!$C$445:$E$467,3,FALSE),Lookups!$K$98:$M$433,3,FALSE),$D16*VLOOKUP($C16,Lookups!$D$98:$O$433,12,FALSE)))))</f>
        <v/>
      </c>
      <c r="F16" s="1"/>
      <c r="G16" s="151"/>
      <c r="H16" s="152"/>
      <c r="I16" s="152"/>
      <c r="J16" s="152"/>
    </row>
    <row r="17" spans="1:10" x14ac:dyDescent="0.25">
      <c r="A17" s="128"/>
      <c r="B17" s="1"/>
      <c r="C17" s="102"/>
      <c r="D17" s="103"/>
      <c r="E17" s="170" t="str">
        <f>IF(OR(ISBLANK($C17),ISBLANK($D17),ISBLANK($E$10),ISBLANK($E$11)),"",IFERROR($D17*VLOOKUP((IF(OR($C17="Residential urban land",$C17="Commercial/industrial urban land",$C17="Open urban land",$C17="Greenspace",$C17="Community food growing",$C17="Woodland",$C17="Shrub", $C17="Water"), "|||"&amp;$C17, (VLOOKUP('Stage 2'!$E$9,Lookups!$C$471:$D$476,2,FALSE)&amp;"|"&amp;$C17&amp;"|"&amp;VLOOKUP('Stage 2'!$E$12,Lookups!$C$489:$D$490,2,FALSE)&amp;"|"&amp;VLOOKUP('Stage 2'!$E$11,Lookups!$C$445:$E$467,3,FALSE)&amp;"|"&amp;VLOOKUP($E$10,Lookups!$C$480:$D$485,2,FALSE)))),Lookups!$H$98:$J$441,3,FALSE),
IFERROR(IFERROR($D17*VLOOKUP($C17&amp;"|"&amp;VLOOKUP('Stage 2'!$E$12,Lookups!$C$489:$D$490,2,FALSE)&amp;"|"&amp;VLOOKUP('Stage 2'!$E$11,Lookups!$C$445:$E$467,3,FALSE)&amp;"|"&amp;VLOOKUP($E$10,Lookups!$C$480:$D$485,2,FALSE),Lookups!$H$98:$J$441,3,FALSE),IFERROR($D17*VLOOKUP($C17&amp;"|"&amp;"TRUE"&amp;"|"&amp;VLOOKUP('Stage 2'!$E$11,Lookups!$C$445:$E$467,3,FALSE)&amp;"|"&amp;VLOOKUP($E$10,Lookups!$C$480:$D$485,2,FALSE),Lookups!$H$98:$J$441,3,FALSE),$D17*VLOOKUP($C17&amp;"|"&amp;VLOOKUP('Stage 2'!$E$12,Lookups!$C$489:$D$490,2,FALSE)&amp;"|"&amp;VLOOKUP('Stage 2'!$E$11,Lookups!$C$445:$E$467,3,FALSE)&amp;"|"&amp;"DrainedArGr",Lookups!$H$98:$J$441,3,FALSE))),IFERROR($D17*VLOOKUP($C17&amp;"|"&amp;VLOOKUP('Stage 2'!$E$11,Lookups!$C$445:$E$467,3,FALSE),Lookups!$K$98:$M$433,3,FALSE),$D17*VLOOKUP($C17,Lookups!$D$98:$O$433,12,FALSE)))))</f>
        <v/>
      </c>
      <c r="F17" s="1"/>
      <c r="G17" s="151"/>
      <c r="H17" s="152"/>
      <c r="I17" s="152"/>
      <c r="J17" s="152"/>
    </row>
    <row r="18" spans="1:10" x14ac:dyDescent="0.25">
      <c r="A18" s="128"/>
      <c r="B18" s="1"/>
      <c r="C18" s="102"/>
      <c r="D18" s="103"/>
      <c r="E18" s="170" t="str">
        <f>IF(OR(ISBLANK($C18),ISBLANK($D18),ISBLANK($E$10),ISBLANK($E$11)),"",IFERROR($D18*VLOOKUP((IF(OR($C18="Residential urban land",$C18="Commercial/industrial urban land",$C18="Open urban land",$C18="Greenspace",$C18="Community food growing",$C18="Woodland",$C18="Shrub", $C18="Water"), "|||"&amp;$C18, (VLOOKUP('Stage 2'!$E$9,Lookups!$C$471:$D$476,2,FALSE)&amp;"|"&amp;$C18&amp;"|"&amp;VLOOKUP('Stage 2'!$E$12,Lookups!$C$489:$D$490,2,FALSE)&amp;"|"&amp;VLOOKUP('Stage 2'!$E$11,Lookups!$C$445:$E$467,3,FALSE)&amp;"|"&amp;VLOOKUP($E$10,Lookups!$C$480:$D$485,2,FALSE)))),Lookups!$H$98:$J$441,3,FALSE),
IFERROR(IFERROR($D18*VLOOKUP($C18&amp;"|"&amp;VLOOKUP('Stage 2'!$E$12,Lookups!$C$489:$D$490,2,FALSE)&amp;"|"&amp;VLOOKUP('Stage 2'!$E$11,Lookups!$C$445:$E$467,3,FALSE)&amp;"|"&amp;VLOOKUP($E$10,Lookups!$C$480:$D$485,2,FALSE),Lookups!$H$98:$J$441,3,FALSE),IFERROR($D18*VLOOKUP($C18&amp;"|"&amp;"TRUE"&amp;"|"&amp;VLOOKUP('Stage 2'!$E$11,Lookups!$C$445:$E$467,3,FALSE)&amp;"|"&amp;VLOOKUP($E$10,Lookups!$C$480:$D$485,2,FALSE),Lookups!$H$98:$J$441,3,FALSE),$D18*VLOOKUP($C18&amp;"|"&amp;VLOOKUP('Stage 2'!$E$12,Lookups!$C$489:$D$490,2,FALSE)&amp;"|"&amp;VLOOKUP('Stage 2'!$E$11,Lookups!$C$445:$E$467,3,FALSE)&amp;"|"&amp;"DrainedArGr",Lookups!$H$98:$J$441,3,FALSE))),IFERROR($D18*VLOOKUP($C18&amp;"|"&amp;VLOOKUP('Stage 2'!$E$11,Lookups!$C$445:$E$467,3,FALSE),Lookups!$K$98:$M$433,3,FALSE),$D18*VLOOKUP($C18,Lookups!$D$98:$O$433,12,FALSE)))))</f>
        <v/>
      </c>
      <c r="F18" s="1"/>
      <c r="G18" s="151"/>
      <c r="H18" s="152"/>
      <c r="I18" s="152"/>
      <c r="J18" s="152"/>
    </row>
    <row r="19" spans="1:10" x14ac:dyDescent="0.25">
      <c r="A19" s="128"/>
      <c r="B19" s="1"/>
      <c r="C19" s="102"/>
      <c r="D19" s="103"/>
      <c r="E19" s="170" t="str">
        <f>IF(OR(ISBLANK($C19),ISBLANK($D19),ISBLANK($E$10),ISBLANK($E$11)),"",IFERROR($D19*VLOOKUP((IF(OR($C19="Residential urban land",$C19="Commercial/industrial urban land",$C19="Open urban land",$C19="Greenspace",$C19="Community food growing",$C19="Woodland",$C19="Shrub", $C19="Water"), "|||"&amp;$C19, (VLOOKUP('Stage 2'!$E$9,Lookups!$C$471:$D$476,2,FALSE)&amp;"|"&amp;$C19&amp;"|"&amp;VLOOKUP('Stage 2'!$E$12,Lookups!$C$489:$D$490,2,FALSE)&amp;"|"&amp;VLOOKUP('Stage 2'!$E$11,Lookups!$C$445:$E$467,3,FALSE)&amp;"|"&amp;VLOOKUP($E$10,Lookups!$C$480:$D$485,2,FALSE)))),Lookups!$H$98:$J$441,3,FALSE),
IFERROR(IFERROR($D19*VLOOKUP($C19&amp;"|"&amp;VLOOKUP('Stage 2'!$E$12,Lookups!$C$489:$D$490,2,FALSE)&amp;"|"&amp;VLOOKUP('Stage 2'!$E$11,Lookups!$C$445:$E$467,3,FALSE)&amp;"|"&amp;VLOOKUP($E$10,Lookups!$C$480:$D$485,2,FALSE),Lookups!$H$98:$J$441,3,FALSE),IFERROR($D19*VLOOKUP($C19&amp;"|"&amp;"TRUE"&amp;"|"&amp;VLOOKUP('Stage 2'!$E$11,Lookups!$C$445:$E$467,3,FALSE)&amp;"|"&amp;VLOOKUP($E$10,Lookups!$C$480:$D$485,2,FALSE),Lookups!$H$98:$J$441,3,FALSE),$D19*VLOOKUP($C19&amp;"|"&amp;VLOOKUP('Stage 2'!$E$12,Lookups!$C$489:$D$490,2,FALSE)&amp;"|"&amp;VLOOKUP('Stage 2'!$E$11,Lookups!$C$445:$E$467,3,FALSE)&amp;"|"&amp;"DrainedArGr",Lookups!$H$98:$J$441,3,FALSE))),IFERROR($D19*VLOOKUP($C19&amp;"|"&amp;VLOOKUP('Stage 2'!$E$11,Lookups!$C$445:$E$467,3,FALSE),Lookups!$K$98:$M$433,3,FALSE),$D19*VLOOKUP($C19,Lookups!$D$98:$O$433,12,FALSE)))))</f>
        <v/>
      </c>
      <c r="F19" s="1"/>
      <c r="G19" s="151"/>
      <c r="H19" s="152"/>
      <c r="I19" s="152"/>
      <c r="J19" s="152"/>
    </row>
    <row r="20" spans="1:10" x14ac:dyDescent="0.25">
      <c r="A20" s="128"/>
      <c r="B20" s="1"/>
      <c r="C20" s="102"/>
      <c r="D20" s="103"/>
      <c r="E20" s="170" t="str">
        <f>IF(OR(ISBLANK($C20),ISBLANK($D20),ISBLANK($E$10),ISBLANK($E$11)),"",IFERROR($D20*VLOOKUP((IF(OR($C20="Residential urban land",$C20="Commercial/industrial urban land",$C20="Open urban land",$C20="Greenspace",$C20="Community food growing",$C20="Woodland",$C20="Shrub", $C20="Water"), "|||"&amp;$C20, (VLOOKUP('Stage 2'!$E$9,Lookups!$C$471:$D$476,2,FALSE)&amp;"|"&amp;$C20&amp;"|"&amp;VLOOKUP('Stage 2'!$E$12,Lookups!$C$489:$D$490,2,FALSE)&amp;"|"&amp;VLOOKUP('Stage 2'!$E$11,Lookups!$C$445:$E$467,3,FALSE)&amp;"|"&amp;VLOOKUP($E$10,Lookups!$C$480:$D$485,2,FALSE)))),Lookups!$H$98:$J$441,3,FALSE),
IFERROR(IFERROR($D20*VLOOKUP($C20&amp;"|"&amp;VLOOKUP('Stage 2'!$E$12,Lookups!$C$489:$D$490,2,FALSE)&amp;"|"&amp;VLOOKUP('Stage 2'!$E$11,Lookups!$C$445:$E$467,3,FALSE)&amp;"|"&amp;VLOOKUP($E$10,Lookups!$C$480:$D$485,2,FALSE),Lookups!$H$98:$J$441,3,FALSE),IFERROR($D20*VLOOKUP($C20&amp;"|"&amp;"TRUE"&amp;"|"&amp;VLOOKUP('Stage 2'!$E$11,Lookups!$C$445:$E$467,3,FALSE)&amp;"|"&amp;VLOOKUP($E$10,Lookups!$C$480:$D$485,2,FALSE),Lookups!$H$98:$J$441,3,FALSE),$D20*VLOOKUP($C20&amp;"|"&amp;VLOOKUP('Stage 2'!$E$12,Lookups!$C$489:$D$490,2,FALSE)&amp;"|"&amp;VLOOKUP('Stage 2'!$E$11,Lookups!$C$445:$E$467,3,FALSE)&amp;"|"&amp;"DrainedArGr",Lookups!$H$98:$J$441,3,FALSE))),IFERROR($D20*VLOOKUP($C20&amp;"|"&amp;VLOOKUP('Stage 2'!$E$11,Lookups!$C$445:$E$467,3,FALSE),Lookups!$K$98:$M$433,3,FALSE),$D20*VLOOKUP($C20,Lookups!$D$98:$O$433,12,FALSE)))))</f>
        <v/>
      </c>
      <c r="F20" s="1"/>
      <c r="G20" s="151"/>
      <c r="H20" s="152"/>
      <c r="I20" s="152"/>
      <c r="J20" s="152"/>
    </row>
    <row r="21" spans="1:10" x14ac:dyDescent="0.25">
      <c r="A21" s="128"/>
      <c r="B21" s="1"/>
      <c r="C21" s="102"/>
      <c r="D21" s="103"/>
      <c r="E21" s="170" t="str">
        <f>IF(OR(ISBLANK($C21),ISBLANK($D21),ISBLANK($E$10),ISBLANK($E$11)),"",IFERROR($D21*VLOOKUP((IF(OR($C21="Residential urban land",$C21="Commercial/industrial urban land",$C21="Open urban land",$C21="Greenspace",$C21="Community food growing",$C21="Woodland",$C21="Shrub", $C21="Water"), "|||"&amp;$C21, (VLOOKUP('Stage 2'!$E$9,Lookups!$C$471:$D$476,2,FALSE)&amp;"|"&amp;$C21&amp;"|"&amp;VLOOKUP('Stage 2'!$E$12,Lookups!$C$489:$D$490,2,FALSE)&amp;"|"&amp;VLOOKUP('Stage 2'!$E$11,Lookups!$C$445:$E$467,3,FALSE)&amp;"|"&amp;VLOOKUP($E$10,Lookups!$C$480:$D$485,2,FALSE)))),Lookups!$H$98:$J$441,3,FALSE),
IFERROR(IFERROR($D21*VLOOKUP($C21&amp;"|"&amp;VLOOKUP('Stage 2'!$E$12,Lookups!$C$489:$D$490,2,FALSE)&amp;"|"&amp;VLOOKUP('Stage 2'!$E$11,Lookups!$C$445:$E$467,3,FALSE)&amp;"|"&amp;VLOOKUP($E$10,Lookups!$C$480:$D$485,2,FALSE),Lookups!$H$98:$J$441,3,FALSE),IFERROR($D21*VLOOKUP($C21&amp;"|"&amp;"TRUE"&amp;"|"&amp;VLOOKUP('Stage 2'!$E$11,Lookups!$C$445:$E$467,3,FALSE)&amp;"|"&amp;VLOOKUP($E$10,Lookups!$C$480:$D$485,2,FALSE),Lookups!$H$98:$J$441,3,FALSE),$D21*VLOOKUP($C21&amp;"|"&amp;VLOOKUP('Stage 2'!$E$12,Lookups!$C$489:$D$490,2,FALSE)&amp;"|"&amp;VLOOKUP('Stage 2'!$E$11,Lookups!$C$445:$E$467,3,FALSE)&amp;"|"&amp;"DrainedArGr",Lookups!$H$98:$J$441,3,FALSE))),IFERROR($D21*VLOOKUP($C21&amp;"|"&amp;VLOOKUP('Stage 2'!$E$11,Lookups!$C$445:$E$467,3,FALSE),Lookups!$K$98:$M$433,3,FALSE),$D21*VLOOKUP($C21,Lookups!$D$98:$O$433,12,FALSE)))))</f>
        <v/>
      </c>
      <c r="F21" s="1"/>
      <c r="G21" s="145"/>
    </row>
    <row r="22" spans="1:10" x14ac:dyDescent="0.25">
      <c r="A22" s="128"/>
      <c r="B22" s="1"/>
      <c r="C22" s="102"/>
      <c r="D22" s="191"/>
      <c r="E22" s="170" t="str">
        <f>IF(OR(ISBLANK($C22),ISBLANK($D22),ISBLANK($E$10),ISBLANK($E$11)),"",IFERROR($D22*VLOOKUP((IF(OR($C22="Residential urban land",$C22="Commercial/industrial urban land",$C22="Open urban land",$C22="Greenspace",$C22="Community food growing",$C22="Woodland",$C22="Shrub", $C22="Water"), "|||"&amp;$C22, (VLOOKUP('Stage 2'!$E$9,Lookups!$C$471:$D$476,2,FALSE)&amp;"|"&amp;$C22&amp;"|"&amp;VLOOKUP('Stage 2'!$E$12,Lookups!$C$489:$D$490,2,FALSE)&amp;"|"&amp;VLOOKUP('Stage 2'!$E$11,Lookups!$C$445:$E$467,3,FALSE)&amp;"|"&amp;VLOOKUP($E$10,Lookups!$C$480:$D$485,2,FALSE)))),Lookups!$H$98:$J$441,3,FALSE),
IFERROR(IFERROR($D22*VLOOKUP($C22&amp;"|"&amp;VLOOKUP('Stage 2'!$E$12,Lookups!$C$489:$D$490,2,FALSE)&amp;"|"&amp;VLOOKUP('Stage 2'!$E$11,Lookups!$C$445:$E$467,3,FALSE)&amp;"|"&amp;VLOOKUP($E$10,Lookups!$C$480:$D$485,2,FALSE),Lookups!$H$98:$J$441,3,FALSE),IFERROR($D22*VLOOKUP($C22&amp;"|"&amp;"TRUE"&amp;"|"&amp;VLOOKUP('Stage 2'!$E$11,Lookups!$C$445:$E$467,3,FALSE)&amp;"|"&amp;VLOOKUP($E$10,Lookups!$C$480:$D$485,2,FALSE),Lookups!$H$98:$J$441,3,FALSE),$D22*VLOOKUP($C22&amp;"|"&amp;VLOOKUP('Stage 2'!$E$12,Lookups!$C$489:$D$490,2,FALSE)&amp;"|"&amp;VLOOKUP('Stage 2'!$E$11,Lookups!$C$445:$E$467,3,FALSE)&amp;"|"&amp;"DrainedArGr",Lookups!$H$98:$J$441,3,FALSE))),IFERROR($D22*VLOOKUP($C22&amp;"|"&amp;VLOOKUP('Stage 2'!$E$11,Lookups!$C$445:$E$467,3,FALSE),Lookups!$K$98:$M$433,3,FALSE),$D22*VLOOKUP($C22,Lookups!$D$98:$O$433,12,FALSE)))))</f>
        <v/>
      </c>
      <c r="F22" s="1"/>
      <c r="G22" s="145"/>
    </row>
    <row r="23" spans="1:10" x14ac:dyDescent="0.25">
      <c r="A23" s="128"/>
      <c r="B23" s="1"/>
      <c r="C23" s="102"/>
      <c r="D23" s="191"/>
      <c r="E23" s="170" t="str">
        <f>IF(OR(ISBLANK($C23),ISBLANK($D23),ISBLANK($E$10),ISBLANK($E$11)),"",IFERROR($D23*VLOOKUP((IF(OR($C23="Residential urban land",$C23="Commercial/industrial urban land",$C23="Open urban land",$C23="Greenspace",$C23="Community food growing",$C23="Woodland",$C23="Shrub", $C23="Water"), "|||"&amp;$C23, (VLOOKUP('Stage 2'!$E$9,Lookups!$C$471:$D$476,2,FALSE)&amp;"|"&amp;$C23&amp;"|"&amp;VLOOKUP('Stage 2'!$E$12,Lookups!$C$489:$D$490,2,FALSE)&amp;"|"&amp;VLOOKUP('Stage 2'!$E$11,Lookups!$C$445:$E$467,3,FALSE)&amp;"|"&amp;VLOOKUP($E$10,Lookups!$C$480:$D$485,2,FALSE)))),Lookups!$H$98:$J$441,3,FALSE),
IFERROR(IFERROR($D23*VLOOKUP($C23&amp;"|"&amp;VLOOKUP('Stage 2'!$E$12,Lookups!$C$489:$D$490,2,FALSE)&amp;"|"&amp;VLOOKUP('Stage 2'!$E$11,Lookups!$C$445:$E$467,3,FALSE)&amp;"|"&amp;VLOOKUP($E$10,Lookups!$C$480:$D$485,2,FALSE),Lookups!$H$98:$J$441,3,FALSE),IFERROR($D23*VLOOKUP($C23&amp;"|"&amp;"TRUE"&amp;"|"&amp;VLOOKUP('Stage 2'!$E$11,Lookups!$C$445:$E$467,3,FALSE)&amp;"|"&amp;VLOOKUP($E$10,Lookups!$C$480:$D$485,2,FALSE),Lookups!$H$98:$J$441,3,FALSE),$D23*VLOOKUP($C23&amp;"|"&amp;VLOOKUP('Stage 2'!$E$12,Lookups!$C$489:$D$490,2,FALSE)&amp;"|"&amp;VLOOKUP('Stage 2'!$E$11,Lookups!$C$445:$E$467,3,FALSE)&amp;"|"&amp;"DrainedArGr",Lookups!$H$98:$J$441,3,FALSE))),IFERROR($D23*VLOOKUP($C23&amp;"|"&amp;VLOOKUP('Stage 2'!$E$11,Lookups!$C$445:$E$467,3,FALSE),Lookups!$K$98:$M$433,3,FALSE),$D23*VLOOKUP($C23,Lookups!$D$98:$O$433,12,FALSE)))))</f>
        <v/>
      </c>
      <c r="F23" s="1"/>
      <c r="G23" s="145"/>
    </row>
    <row r="24" spans="1:10" x14ac:dyDescent="0.25">
      <c r="A24" s="128"/>
      <c r="B24" s="1"/>
      <c r="C24" s="102"/>
      <c r="D24" s="103"/>
      <c r="E24" s="170" t="str">
        <f>IF(OR(ISBLANK($C24),ISBLANK($D24),ISBLANK($E$10),ISBLANK($E$11)),"",IFERROR($D24*VLOOKUP((IF(OR($C24="Residential urban land",$C24="Commercial/industrial urban land",$C24="Open urban land",$C24="Greenspace",$C24="Community food growing",$C24="Woodland",$C24="Shrub", $C24="Water"), "|||"&amp;$C24, (VLOOKUP('Stage 2'!$E$9,Lookups!$C$471:$D$476,2,FALSE)&amp;"|"&amp;$C24&amp;"|"&amp;VLOOKUP('Stage 2'!$E$12,Lookups!$C$489:$D$490,2,FALSE)&amp;"|"&amp;VLOOKUP('Stage 2'!$E$11,Lookups!$C$445:$E$467,3,FALSE)&amp;"|"&amp;VLOOKUP($E$10,Lookups!$C$480:$D$485,2,FALSE)))),Lookups!$H$98:$J$441,3,FALSE),
IFERROR(IFERROR($D24*VLOOKUP($C24&amp;"|"&amp;VLOOKUP('Stage 2'!$E$12,Lookups!$C$489:$D$490,2,FALSE)&amp;"|"&amp;VLOOKUP('Stage 2'!$E$11,Lookups!$C$445:$E$467,3,FALSE)&amp;"|"&amp;VLOOKUP($E$10,Lookups!$C$480:$D$485,2,FALSE),Lookups!$H$98:$J$441,3,FALSE),IFERROR($D24*VLOOKUP($C24&amp;"|"&amp;"TRUE"&amp;"|"&amp;VLOOKUP('Stage 2'!$E$11,Lookups!$C$445:$E$467,3,FALSE)&amp;"|"&amp;VLOOKUP($E$10,Lookups!$C$480:$D$485,2,FALSE),Lookups!$H$98:$J$441,3,FALSE),$D24*VLOOKUP($C24&amp;"|"&amp;VLOOKUP('Stage 2'!$E$12,Lookups!$C$489:$D$490,2,FALSE)&amp;"|"&amp;VLOOKUP('Stage 2'!$E$11,Lookups!$C$445:$E$467,3,FALSE)&amp;"|"&amp;"DrainedArGr",Lookups!$H$98:$J$441,3,FALSE))),IFERROR($D24*VLOOKUP($C24&amp;"|"&amp;VLOOKUP('Stage 2'!$E$11,Lookups!$C$445:$E$467,3,FALSE),Lookups!$K$98:$M$433,3,FALSE),$D24*VLOOKUP($C24,Lookups!$D$98:$O$433,12,FALSE)))))</f>
        <v/>
      </c>
      <c r="F24" s="1"/>
      <c r="G24" s="145"/>
    </row>
    <row r="25" spans="1:10" x14ac:dyDescent="0.25">
      <c r="A25" s="128"/>
      <c r="B25" s="1"/>
      <c r="C25" s="102"/>
      <c r="D25" s="103"/>
      <c r="E25" s="170" t="str">
        <f>IF(OR(ISBLANK($C25),ISBLANK($D25),ISBLANK($E$10),ISBLANK($E$11)),"",IFERROR($D25*VLOOKUP((IF(OR($C25="Residential urban land",$C25="Commercial/industrial urban land",$C25="Open urban land",$C25="Greenspace",$C25="Community food growing",$C25="Woodland",$C25="Shrub", $C25="Water"), "|||"&amp;$C25, (VLOOKUP('Stage 2'!$E$9,Lookups!$C$471:$D$476,2,FALSE)&amp;"|"&amp;$C25&amp;"|"&amp;VLOOKUP('Stage 2'!$E$12,Lookups!$C$489:$D$490,2,FALSE)&amp;"|"&amp;VLOOKUP('Stage 2'!$E$11,Lookups!$C$445:$E$467,3,FALSE)&amp;"|"&amp;VLOOKUP($E$10,Lookups!$C$480:$D$485,2,FALSE)))),Lookups!$H$98:$J$441,3,FALSE),
IFERROR(IFERROR($D25*VLOOKUP($C25&amp;"|"&amp;VLOOKUP('Stage 2'!$E$12,Lookups!$C$489:$D$490,2,FALSE)&amp;"|"&amp;VLOOKUP('Stage 2'!$E$11,Lookups!$C$445:$E$467,3,FALSE)&amp;"|"&amp;VLOOKUP($E$10,Lookups!$C$480:$D$485,2,FALSE),Lookups!$H$98:$J$441,3,FALSE),IFERROR($D25*VLOOKUP($C25&amp;"|"&amp;"TRUE"&amp;"|"&amp;VLOOKUP('Stage 2'!$E$11,Lookups!$C$445:$E$467,3,FALSE)&amp;"|"&amp;VLOOKUP($E$10,Lookups!$C$480:$D$485,2,FALSE),Lookups!$H$98:$J$441,3,FALSE),$D25*VLOOKUP($C25&amp;"|"&amp;VLOOKUP('Stage 2'!$E$12,Lookups!$C$489:$D$490,2,FALSE)&amp;"|"&amp;VLOOKUP('Stage 2'!$E$11,Lookups!$C$445:$E$467,3,FALSE)&amp;"|"&amp;"DrainedArGr",Lookups!$H$98:$J$441,3,FALSE))),IFERROR($D25*VLOOKUP($C25&amp;"|"&amp;VLOOKUP('Stage 2'!$E$11,Lookups!$C$445:$E$467,3,FALSE),Lookups!$K$98:$M$433,3,FALSE),$D25*VLOOKUP($C25,Lookups!$D$98:$O$433,12,FALSE)))))</f>
        <v/>
      </c>
      <c r="F25" s="1"/>
      <c r="G25" s="145"/>
    </row>
    <row r="26" spans="1:10" x14ac:dyDescent="0.25">
      <c r="A26" s="128"/>
      <c r="B26" s="1"/>
      <c r="C26" s="102"/>
      <c r="D26" s="103"/>
      <c r="E26" s="170" t="str">
        <f>IF(OR(ISBLANK($C26),ISBLANK($D26),ISBLANK($E$10),ISBLANK($E$11)),"",IFERROR($D26*VLOOKUP((IF(OR($C26="Residential urban land",$C26="Commercial/industrial urban land",$C26="Open urban land",$C26="Greenspace",$C26="Community food growing",$C26="Woodland",$C26="Shrub", $C26="Water"), "|||"&amp;$C26, (VLOOKUP('Stage 2'!$E$9,Lookups!$C$471:$D$476,2,FALSE)&amp;"|"&amp;$C26&amp;"|"&amp;VLOOKUP('Stage 2'!$E$12,Lookups!$C$489:$D$490,2,FALSE)&amp;"|"&amp;VLOOKUP('Stage 2'!$E$11,Lookups!$C$445:$E$467,3,FALSE)&amp;"|"&amp;VLOOKUP($E$10,Lookups!$C$480:$D$485,2,FALSE)))),Lookups!$H$98:$J$441,3,FALSE),
IFERROR(IFERROR($D26*VLOOKUP($C26&amp;"|"&amp;VLOOKUP('Stage 2'!$E$12,Lookups!$C$489:$D$490,2,FALSE)&amp;"|"&amp;VLOOKUP('Stage 2'!$E$11,Lookups!$C$445:$E$467,3,FALSE)&amp;"|"&amp;VLOOKUP($E$10,Lookups!$C$480:$D$485,2,FALSE),Lookups!$H$98:$J$441,3,FALSE),IFERROR($D26*VLOOKUP($C26&amp;"|"&amp;"TRUE"&amp;"|"&amp;VLOOKUP('Stage 2'!$E$11,Lookups!$C$445:$E$467,3,FALSE)&amp;"|"&amp;VLOOKUP($E$10,Lookups!$C$480:$D$485,2,FALSE),Lookups!$H$98:$J$441,3,FALSE),$D26*VLOOKUP($C26&amp;"|"&amp;VLOOKUP('Stage 2'!$E$12,Lookups!$C$489:$D$490,2,FALSE)&amp;"|"&amp;VLOOKUP('Stage 2'!$E$11,Lookups!$C$445:$E$467,3,FALSE)&amp;"|"&amp;"DrainedArGr",Lookups!$H$98:$J$441,3,FALSE))),IFERROR($D26*VLOOKUP($C26&amp;"|"&amp;VLOOKUP('Stage 2'!$E$11,Lookups!$C$445:$E$467,3,FALSE),Lookups!$K$98:$M$433,3,FALSE),$D26*VLOOKUP($C26,Lookups!$D$98:$O$433,12,FALSE)))))</f>
        <v/>
      </c>
      <c r="F26" s="1"/>
      <c r="G26" s="145"/>
    </row>
    <row r="27" spans="1:10" x14ac:dyDescent="0.25">
      <c r="A27" s="128"/>
      <c r="B27" s="1"/>
      <c r="C27" s="102"/>
      <c r="D27" s="103"/>
      <c r="E27" s="170" t="str">
        <f>IF(OR(ISBLANK($C27),ISBLANK($D27),ISBLANK($E$10),ISBLANK($E$11)),"",IFERROR($D27*VLOOKUP((IF(OR($C27="Residential urban land",$C27="Commercial/industrial urban land",$C27="Open urban land",$C27="Greenspace",$C27="Community food growing",$C27="Woodland",$C27="Shrub", $C27="Water"), "|||"&amp;$C27, (VLOOKUP('Stage 2'!$E$9,Lookups!$C$471:$D$476,2,FALSE)&amp;"|"&amp;$C27&amp;"|"&amp;VLOOKUP('Stage 2'!$E$12,Lookups!$C$489:$D$490,2,FALSE)&amp;"|"&amp;VLOOKUP('Stage 2'!$E$11,Lookups!$C$445:$E$467,3,FALSE)&amp;"|"&amp;VLOOKUP($E$10,Lookups!$C$480:$D$485,2,FALSE)))),Lookups!$H$98:$J$441,3,FALSE),
IFERROR(IFERROR($D27*VLOOKUP($C27&amp;"|"&amp;VLOOKUP('Stage 2'!$E$12,Lookups!$C$489:$D$490,2,FALSE)&amp;"|"&amp;VLOOKUP('Stage 2'!$E$11,Lookups!$C$445:$E$467,3,FALSE)&amp;"|"&amp;VLOOKUP($E$10,Lookups!$C$480:$D$485,2,FALSE),Lookups!$H$98:$J$441,3,FALSE),IFERROR($D27*VLOOKUP($C27&amp;"|"&amp;"TRUE"&amp;"|"&amp;VLOOKUP('Stage 2'!$E$11,Lookups!$C$445:$E$467,3,FALSE)&amp;"|"&amp;VLOOKUP($E$10,Lookups!$C$480:$D$485,2,FALSE),Lookups!$H$98:$J$441,3,FALSE),$D27*VLOOKUP($C27&amp;"|"&amp;VLOOKUP('Stage 2'!$E$12,Lookups!$C$489:$D$490,2,FALSE)&amp;"|"&amp;VLOOKUP('Stage 2'!$E$11,Lookups!$C$445:$E$467,3,FALSE)&amp;"|"&amp;"DrainedArGr",Lookups!$H$98:$J$441,3,FALSE))),IFERROR($D27*VLOOKUP($C27&amp;"|"&amp;VLOOKUP('Stage 2'!$E$11,Lookups!$C$445:$E$467,3,FALSE),Lookups!$K$98:$M$433,3,FALSE),$D27*VLOOKUP($C27,Lookups!$D$98:$O$433,12,FALSE)))))</f>
        <v/>
      </c>
      <c r="F27" s="1"/>
      <c r="G27" s="145"/>
    </row>
    <row r="28" spans="1:10" x14ac:dyDescent="0.25">
      <c r="A28" s="128"/>
      <c r="B28" s="1"/>
      <c r="C28" s="102"/>
      <c r="D28" s="103"/>
      <c r="E28" s="170" t="str">
        <f>IF(OR(ISBLANK($C28),ISBLANK($D28),ISBLANK($E$10),ISBLANK($E$11)),"",IFERROR($D28*VLOOKUP((IF(OR($C28="Residential urban land",$C28="Commercial/industrial urban land",$C28="Open urban land",$C28="Greenspace",$C28="Community food growing",$C28="Woodland",$C28="Shrub", $C28="Water"), "|||"&amp;$C28, (VLOOKUP('Stage 2'!$E$9,Lookups!$C$471:$D$476,2,FALSE)&amp;"|"&amp;$C28&amp;"|"&amp;VLOOKUP('Stage 2'!$E$12,Lookups!$C$489:$D$490,2,FALSE)&amp;"|"&amp;VLOOKUP('Stage 2'!$E$11,Lookups!$C$445:$E$467,3,FALSE)&amp;"|"&amp;VLOOKUP($E$10,Lookups!$C$480:$D$485,2,FALSE)))),Lookups!$H$98:$J$441,3,FALSE),
IFERROR(IFERROR($D28*VLOOKUP($C28&amp;"|"&amp;VLOOKUP('Stage 2'!$E$12,Lookups!$C$489:$D$490,2,FALSE)&amp;"|"&amp;VLOOKUP('Stage 2'!$E$11,Lookups!$C$445:$E$467,3,FALSE)&amp;"|"&amp;VLOOKUP($E$10,Lookups!$C$480:$D$485,2,FALSE),Lookups!$H$98:$J$441,3,FALSE),IFERROR($D28*VLOOKUP($C28&amp;"|"&amp;"TRUE"&amp;"|"&amp;VLOOKUP('Stage 2'!$E$11,Lookups!$C$445:$E$467,3,FALSE)&amp;"|"&amp;VLOOKUP($E$10,Lookups!$C$480:$D$485,2,FALSE),Lookups!$H$98:$J$441,3,FALSE),$D28*VLOOKUP($C28&amp;"|"&amp;VLOOKUP('Stage 2'!$E$12,Lookups!$C$489:$D$490,2,FALSE)&amp;"|"&amp;VLOOKUP('Stage 2'!$E$11,Lookups!$C$445:$E$467,3,FALSE)&amp;"|"&amp;"DrainedArGr",Lookups!$H$98:$J$441,3,FALSE))),IFERROR($D28*VLOOKUP($C28&amp;"|"&amp;VLOOKUP('Stage 2'!$E$11,Lookups!$C$445:$E$467,3,FALSE),Lookups!$K$98:$M$433,3,FALSE),$D28*VLOOKUP($C28,Lookups!$D$98:$O$433,12,FALSE)))))</f>
        <v/>
      </c>
      <c r="F28" s="1"/>
      <c r="G28" s="145"/>
      <c r="I28" s="153"/>
    </row>
    <row r="29" spans="1:10" x14ac:dyDescent="0.25">
      <c r="A29" s="128"/>
      <c r="B29" s="1"/>
      <c r="C29" s="102"/>
      <c r="D29" s="103"/>
      <c r="E29" s="170" t="str">
        <f>IF(OR(ISBLANK($C29),ISBLANK($D29),ISBLANK($E$10),ISBLANK($E$11)),"",IFERROR($D29*VLOOKUP((IF(OR($C29="Residential urban land",$C29="Commercial/industrial urban land",$C29="Open urban land",$C29="Greenspace",$C29="Community food growing",$C29="Woodland",$C29="Shrub", $C29="Water"), "|||"&amp;$C29, (VLOOKUP('Stage 2'!$E$9,Lookups!$C$471:$D$476,2,FALSE)&amp;"|"&amp;$C29&amp;"|"&amp;VLOOKUP('Stage 2'!$E$12,Lookups!$C$489:$D$490,2,FALSE)&amp;"|"&amp;VLOOKUP('Stage 2'!$E$11,Lookups!$C$445:$E$467,3,FALSE)&amp;"|"&amp;VLOOKUP($E$10,Lookups!$C$480:$D$485,2,FALSE)))),Lookups!$H$98:$J$441,3,FALSE),
IFERROR(IFERROR($D29*VLOOKUP($C29&amp;"|"&amp;VLOOKUP('Stage 2'!$E$12,Lookups!$C$489:$D$490,2,FALSE)&amp;"|"&amp;VLOOKUP('Stage 2'!$E$11,Lookups!$C$445:$E$467,3,FALSE)&amp;"|"&amp;VLOOKUP($E$10,Lookups!$C$480:$D$485,2,FALSE),Lookups!$H$98:$J$441,3,FALSE),IFERROR($D29*VLOOKUP($C29&amp;"|"&amp;"TRUE"&amp;"|"&amp;VLOOKUP('Stage 2'!$E$11,Lookups!$C$445:$E$467,3,FALSE)&amp;"|"&amp;VLOOKUP($E$10,Lookups!$C$480:$D$485,2,FALSE),Lookups!$H$98:$J$441,3,FALSE),$D29*VLOOKUP($C29&amp;"|"&amp;VLOOKUP('Stage 2'!$E$12,Lookups!$C$489:$D$490,2,FALSE)&amp;"|"&amp;VLOOKUP('Stage 2'!$E$11,Lookups!$C$445:$E$467,3,FALSE)&amp;"|"&amp;"DrainedArGr",Lookups!$H$98:$J$441,3,FALSE))),IFERROR($D29*VLOOKUP($C29&amp;"|"&amp;VLOOKUP('Stage 2'!$E$11,Lookups!$C$445:$E$467,3,FALSE),Lookups!$K$98:$M$433,3,FALSE),$D29*VLOOKUP($C29,Lookups!$D$98:$O$433,12,FALSE)))))</f>
        <v/>
      </c>
      <c r="F29" s="1"/>
      <c r="G29" s="145"/>
    </row>
    <row r="30" spans="1:10" x14ac:dyDescent="0.25">
      <c r="A30" s="128"/>
      <c r="B30" s="1"/>
      <c r="C30" s="102"/>
      <c r="D30" s="103"/>
      <c r="E30" s="170" t="str">
        <f>IF(OR(ISBLANK($C30),ISBLANK($D30),ISBLANK($E$10),ISBLANK($E$11)),"",IFERROR($D30*VLOOKUP((IF(OR($C30="Residential urban land",$C30="Commercial/industrial urban land",$C30="Open urban land",$C30="Greenspace",$C30="Community food growing",$C30="Woodland",$C30="Shrub", $C30="Water"), "|||"&amp;$C30, (VLOOKUP('Stage 2'!$E$9,Lookups!$C$471:$D$476,2,FALSE)&amp;"|"&amp;$C30&amp;"|"&amp;VLOOKUP('Stage 2'!$E$12,Lookups!$C$489:$D$490,2,FALSE)&amp;"|"&amp;VLOOKUP('Stage 2'!$E$11,Lookups!$C$445:$E$467,3,FALSE)&amp;"|"&amp;VLOOKUP($E$10,Lookups!$C$480:$D$485,2,FALSE)))),Lookups!$H$98:$J$441,3,FALSE),
IFERROR(IFERROR($D30*VLOOKUP($C30&amp;"|"&amp;VLOOKUP('Stage 2'!$E$12,Lookups!$C$489:$D$490,2,FALSE)&amp;"|"&amp;VLOOKUP('Stage 2'!$E$11,Lookups!$C$445:$E$467,3,FALSE)&amp;"|"&amp;VLOOKUP($E$10,Lookups!$C$480:$D$485,2,FALSE),Lookups!$H$98:$J$441,3,FALSE),IFERROR($D30*VLOOKUP($C30&amp;"|"&amp;"TRUE"&amp;"|"&amp;VLOOKUP('Stage 2'!$E$11,Lookups!$C$445:$E$467,3,FALSE)&amp;"|"&amp;VLOOKUP($E$10,Lookups!$C$480:$D$485,2,FALSE),Lookups!$H$98:$J$441,3,FALSE),$D30*VLOOKUP($C30&amp;"|"&amp;VLOOKUP('Stage 2'!$E$12,Lookups!$C$489:$D$490,2,FALSE)&amp;"|"&amp;VLOOKUP('Stage 2'!$E$11,Lookups!$C$445:$E$467,3,FALSE)&amp;"|"&amp;"DrainedArGr",Lookups!$H$98:$J$441,3,FALSE))),IFERROR($D30*VLOOKUP($C30&amp;"|"&amp;VLOOKUP('Stage 2'!$E$11,Lookups!$C$445:$E$467,3,FALSE),Lookups!$K$98:$M$433,3,FALSE),$D30*VLOOKUP($C30,Lookups!$D$98:$O$433,12,FALSE)))))</f>
        <v/>
      </c>
      <c r="F30" s="1"/>
      <c r="G30" s="145"/>
    </row>
    <row r="31" spans="1:10" ht="15.75" thickBot="1" x14ac:dyDescent="0.3">
      <c r="A31" s="128"/>
      <c r="B31" s="1"/>
      <c r="C31" s="102"/>
      <c r="D31" s="104"/>
      <c r="E31" s="189" t="str">
        <f>IF(OR(ISBLANK($C31),ISBLANK($D31),ISBLANK($E$10),ISBLANK($E$11)),"",IFERROR($D31*VLOOKUP((IF(OR($C31="Residential urban land",$C31="Commercial/industrial urban land",$C31="Open urban land",$C31="Greenspace",$C31="Community food growing",$C31="Woodland",$C31="Shrub", $C31="Water"), "|||"&amp;$C31, (VLOOKUP('Stage 2'!$E$9,Lookups!$C$471:$D$476,2,FALSE)&amp;"|"&amp;$C31&amp;"|"&amp;VLOOKUP('Stage 2'!$E$12,Lookups!$C$489:$D$490,2,FALSE)&amp;"|"&amp;VLOOKUP('Stage 2'!$E$11,Lookups!$C$445:$E$467,3,FALSE)&amp;"|"&amp;VLOOKUP($E$10,Lookups!$C$480:$D$485,2,FALSE)))),Lookups!$H$98:$J$441,3,FALSE),
IFERROR(IFERROR($D31*VLOOKUP($C31&amp;"|"&amp;VLOOKUP('Stage 2'!$E$12,Lookups!$C$489:$D$490,2,FALSE)&amp;"|"&amp;VLOOKUP('Stage 2'!$E$11,Lookups!$C$445:$E$467,3,FALSE)&amp;"|"&amp;VLOOKUP($E$10,Lookups!$C$480:$D$485,2,FALSE),Lookups!$H$98:$J$441,3,FALSE),IFERROR($D31*VLOOKUP($C31&amp;"|"&amp;"TRUE"&amp;"|"&amp;VLOOKUP('Stage 2'!$E$11,Lookups!$C$445:$E$467,3,FALSE)&amp;"|"&amp;VLOOKUP($E$10,Lookups!$C$480:$D$485,2,FALSE),Lookups!$H$98:$J$441,3,FALSE),$D31*VLOOKUP($C31&amp;"|"&amp;VLOOKUP('Stage 2'!$E$12,Lookups!$C$489:$D$490,2,FALSE)&amp;"|"&amp;VLOOKUP('Stage 2'!$E$11,Lookups!$C$445:$E$467,3,FALSE)&amp;"|"&amp;"DrainedArGr",Lookups!$H$98:$J$441,3,FALSE))),IFERROR($D31*VLOOKUP($C31&amp;"|"&amp;VLOOKUP('Stage 2'!$E$11,Lookups!$C$445:$E$467,3,FALSE),Lookups!$K$98:$M$433,3,FALSE),$D31*VLOOKUP($C31,Lookups!$D$98:$O$433,12,FALSE)))))</f>
        <v/>
      </c>
      <c r="F31" s="1"/>
      <c r="G31" s="145"/>
    </row>
    <row r="32" spans="1:10" x14ac:dyDescent="0.25">
      <c r="A32" s="128"/>
      <c r="B32" s="1"/>
      <c r="C32" s="73" t="s">
        <v>114</v>
      </c>
      <c r="D32" s="97">
        <f>SUM(D15:D31)</f>
        <v>0</v>
      </c>
      <c r="E32" s="169">
        <f>SUM(E15:E31)</f>
        <v>0</v>
      </c>
      <c r="F32" s="1"/>
      <c r="G32" s="112"/>
    </row>
    <row r="33" spans="1:7" ht="15.75" thickBot="1" x14ac:dyDescent="0.3">
      <c r="A33" s="128"/>
      <c r="B33" s="138"/>
      <c r="C33" s="125"/>
      <c r="D33" s="125"/>
      <c r="E33" s="125"/>
      <c r="F33" s="125"/>
      <c r="G33" s="126"/>
    </row>
    <row r="34" spans="1:7" ht="15.75" thickTop="1" x14ac:dyDescent="0.25"/>
  </sheetData>
  <sheetProtection algorithmName="SHA-512" hashValue="Ivg5MAynZtg5H8eMQ3wsMmq9GX67rFaL59UF1bn6YV1iHGQUCayJDF42k65pG72dMaaar5pqBLVl2UgO9tRFiw==" saltValue="2+V40p32jBgY/8JKMj5PDQ==" spinCount="100000" sheet="1" selectLockedCells="1"/>
  <protectedRanges>
    <protectedRange algorithmName="SHA-512" hashValue="6MaqfLmjxE2CMsYMEtptASTKbC7XykMYNd+AlVy+V2v/64BykwcwkRmAkImBIYM0n+Am+TaTWEeHGgFZHNJWgA==" saltValue="1lVOneDC33VcvqS0774YtQ==" spinCount="100000" sqref="E9:E12 C15:D31" name="Range1"/>
  </protectedRanges>
  <mergeCells count="6">
    <mergeCell ref="C12:D12"/>
    <mergeCell ref="C9:D9"/>
    <mergeCell ref="C10:D10"/>
    <mergeCell ref="C11:D11"/>
    <mergeCell ref="B3:G5"/>
    <mergeCell ref="C7:F7"/>
  </mergeCells>
  <dataValidations xWindow="235" yWindow="478" count="1">
    <dataValidation allowBlank="1" showInputMessage="1" showErrorMessage="1" prompt="Please enter area in hectares." sqref="D15:D31" xr:uid="{7A3F0B97-DB05-43E3-94F5-093694D5E348}"/>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xWindow="235" yWindow="478" count="5">
        <x14:dataValidation type="list" allowBlank="1" showInputMessage="1" showErrorMessage="1" errorTitle="Rainfall" error="Rainfall must be entered from the drop down list." prompt="Please enter the annual average rainfall for the development site. If unsure please see the instructions page (Section 3.3) for guidance on how to determine this. If the rainfall volume is not on the list, please select the nearest value." xr:uid="{506A711F-D616-42C7-91D7-47C349233471}">
          <x14:formula1>
            <xm:f>Lookups!$C$448:$C$462</xm:f>
          </x14:formula1>
          <xm:sqref>E11</xm:sqref>
        </x14:dataValidation>
        <x14:dataValidation type="list" allowBlank="1" showInputMessage="1" showErrorMessage="1" errorTitle="Landcover" error="Please select all pre exisitng landcover types." prompt="Select exisiting (pre-development) land use types from the drop down list." xr:uid="{992ADEAC-2247-4596-A0CE-29D439F892B1}">
          <x14:formula1>
            <xm:f>Lookups!$I$471:$I$487</xm:f>
          </x14:formula1>
          <xm:sqref>C15:C31</xm:sqref>
        </x14:dataValidation>
        <x14:dataValidation type="list" operator="greaterThan" allowBlank="1" showInputMessage="1" showErrorMessage="1" errorTitle="Catchment Error" error="Please enter your catchment." prompt="Please enter the Operational Catchment that the development site is within. If unsure Please see the instructions page (Section 3.1) for guidance on how to determine this." xr:uid="{B2B19558-C6B4-46F2-B681-B62D4CF291FE}">
          <x14:formula1>
            <xm:f>Lookups!$D$471:$D$476</xm:f>
          </x14:formula1>
          <xm:sqref>E9</xm:sqref>
        </x14:dataValidation>
        <x14:dataValidation type="list" showInputMessage="1" showErrorMessage="1" errorTitle="NVZ" error="Please select whether development area is within an NVZ." prompt="Please select whether the development area is within an NVZ. If unsure please see the instructions page (Section 3.4) for guidance on how to determine this. " xr:uid="{9F25A89B-2F33-4BD1-97BD-EA33B22A96BB}">
          <x14:formula1>
            <xm:f>Lookups!$C$489:$C$490</xm:f>
          </x14:formula1>
          <xm:sqref>E12</xm:sqref>
        </x14:dataValidation>
        <x14:dataValidation type="list" operator="greaterThan" allowBlank="1" showInputMessage="1" showErrorMessage="1" errorTitle="Soil drainage type" error="Pleas enter the soil drainage type for the development site." prompt="Please enter the soil drainage type for the development site. If unsure please see the instructions page (Section 3.2) for guidance on how to determine this." xr:uid="{30EB6C55-0D33-4679-BDCD-D3A716B82E75}">
          <x14:formula1>
            <xm:f>Lookups!$C$480:$C$485</xm:f>
          </x14:formula1>
          <xm:sqref>E10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1268-2FDD-4208-B879-2DF0627A5BBD}">
  <dimension ref="A3:I29"/>
  <sheetViews>
    <sheetView showRowColHeaders="0" zoomScaleNormal="100" workbookViewId="0">
      <selection activeCell="C10" sqref="C10"/>
    </sheetView>
  </sheetViews>
  <sheetFormatPr defaultColWidth="9.140625" defaultRowHeight="15" x14ac:dyDescent="0.25"/>
  <cols>
    <col min="1" max="1" width="9.140625" style="127"/>
    <col min="2" max="2" width="4.7109375" style="127" customWidth="1"/>
    <col min="3" max="3" width="32" style="127" customWidth="1"/>
    <col min="4" max="4" width="12.42578125" style="127" customWidth="1"/>
    <col min="5" max="5" width="19.5703125" style="127" customWidth="1"/>
    <col min="6" max="6" width="18.85546875" style="127" hidden="1" customWidth="1"/>
    <col min="7" max="7" width="4.5703125" style="127" customWidth="1"/>
    <col min="8" max="16384" width="9.140625" style="127"/>
  </cols>
  <sheetData>
    <row r="3" spans="1:9" x14ac:dyDescent="0.25">
      <c r="A3" s="128"/>
      <c r="B3" s="257" t="s">
        <v>115</v>
      </c>
      <c r="C3" s="258"/>
      <c r="D3" s="258"/>
      <c r="E3" s="258"/>
      <c r="F3" s="258"/>
      <c r="G3" s="259"/>
    </row>
    <row r="4" spans="1:9" x14ac:dyDescent="0.25">
      <c r="A4" s="128"/>
      <c r="B4" s="257"/>
      <c r="C4" s="258"/>
      <c r="D4" s="258"/>
      <c r="E4" s="258"/>
      <c r="F4" s="258"/>
      <c r="G4" s="259"/>
    </row>
    <row r="5" spans="1:9" x14ac:dyDescent="0.25">
      <c r="A5" s="128"/>
      <c r="B5" s="257"/>
      <c r="C5" s="258"/>
      <c r="D5" s="258"/>
      <c r="E5" s="258"/>
      <c r="F5" s="258"/>
      <c r="G5" s="259"/>
    </row>
    <row r="6" spans="1:9" ht="17.25" x14ac:dyDescent="0.25">
      <c r="A6" s="128"/>
      <c r="B6" s="1"/>
      <c r="C6" s="1"/>
      <c r="D6" s="1"/>
      <c r="E6" s="1"/>
      <c r="F6" s="1"/>
      <c r="G6" s="136"/>
    </row>
    <row r="7" spans="1:9" ht="18" customHeight="1" x14ac:dyDescent="0.25">
      <c r="A7" s="128"/>
      <c r="B7" s="1"/>
      <c r="C7" s="262" t="s">
        <v>78</v>
      </c>
      <c r="D7" s="262"/>
      <c r="E7" s="262"/>
      <c r="F7" s="262"/>
      <c r="G7" s="135"/>
    </row>
    <row r="8" spans="1:9" x14ac:dyDescent="0.25">
      <c r="A8" s="128"/>
      <c r="B8" s="1"/>
      <c r="C8" s="1"/>
      <c r="D8" s="1"/>
      <c r="E8" s="1"/>
      <c r="F8" s="1"/>
      <c r="G8" s="112"/>
    </row>
    <row r="9" spans="1:9" ht="68.25" customHeight="1" thickBot="1" x14ac:dyDescent="0.3">
      <c r="A9" s="128"/>
      <c r="B9" s="1"/>
      <c r="C9" s="74" t="s">
        <v>116</v>
      </c>
      <c r="D9" s="74" t="s">
        <v>112</v>
      </c>
      <c r="E9" s="188" t="s">
        <v>117</v>
      </c>
      <c r="F9" s="1"/>
      <c r="G9" s="112"/>
    </row>
    <row r="10" spans="1:9" x14ac:dyDescent="0.25">
      <c r="A10" s="128"/>
      <c r="B10" s="1"/>
      <c r="C10" s="102"/>
      <c r="D10" s="191"/>
      <c r="E10" s="170" t="str">
        <f>IF(OR(ISBLANK(C10),ISBLANK(D10)),"",D10*VLOOKUP((IF(OR(C10="Residential urban land",C10="Commercial/industrial urban land",C10="Open urban land",C10="Greenspace",C10="Community food growing",C10="Woodland",C10="Shrub", C10="Water"), "|||"&amp;C10, (VLOOKUP('Stage 2'!$E$9,Lookups!$C$471:$D$476,2,FALSE)&amp;"|"&amp;C10&amp;"|"&amp;VLOOKUP('Stage 2'!$E$12,Lookups!$C$489:$D$490,2,FALSE)&amp;"|"&amp;VLOOKUP('Stage 2'!$E$11,Lookups!$C$445:$E$467,3,FALSE)&amp;"|"&amp;VLOOKUP('Stage 2'!$E$10,Lookups!$C$480:$E$485,2,FALSE)))),Lookups!$H$98:$J$441,3,FALSE))</f>
        <v/>
      </c>
      <c r="F10" s="1"/>
      <c r="G10" s="112"/>
    </row>
    <row r="11" spans="1:9" x14ac:dyDescent="0.25">
      <c r="A11" s="128"/>
      <c r="B11" s="1"/>
      <c r="C11" s="102"/>
      <c r="D11" s="103"/>
      <c r="E11" s="170" t="str">
        <f>IF(OR(ISBLANK(C11),ISBLANK(D11)),"",D11*VLOOKUP((IF(OR(C11="Residential urban land",C11="Commercial/industrial urban land",C11="Open urban land",C11="Greenspace",C11="Community food growing",C11="Woodland",C11="Shrub", C11="Water"), "|||"&amp;C11, (VLOOKUP('Stage 2'!$E$9,Lookups!$C$471:$D$476,2,FALSE)&amp;"|"&amp;C11&amp;"|"&amp;VLOOKUP('Stage 2'!$E$12,Lookups!$C$489:$D$490,2,FALSE)&amp;"|"&amp;VLOOKUP('Stage 2'!$E$11,Lookups!$C$445:$E$467,3,FALSE)&amp;"|"&amp;VLOOKUP('Stage 2'!$E$10,Lookups!$C$480:$E$485,2,FALSE)))),Lookups!$H$98:$J$441,3,FALSE))</f>
        <v/>
      </c>
      <c r="F11" s="1"/>
      <c r="G11" s="112"/>
    </row>
    <row r="12" spans="1:9" x14ac:dyDescent="0.25">
      <c r="A12" s="128"/>
      <c r="B12" s="1"/>
      <c r="C12" s="102"/>
      <c r="D12" s="103"/>
      <c r="E12" s="170" t="str">
        <f>IF(OR(ISBLANK(C12),ISBLANK(D12)),"",D12*VLOOKUP((IF(OR(C12="Residential urban land",C12="Commercial/industrial urban land",C12="Open urban land",C12="Greenspace",C12="Community food growing",C12="Woodland",C12="Shrub", C12="Water"), "|||"&amp;C12, (VLOOKUP('Stage 2'!$E$9,Lookups!$C$471:$D$476,2,FALSE)&amp;"|"&amp;C12&amp;"|"&amp;VLOOKUP('Stage 2'!$E$12,Lookups!$C$489:$D$490,2,FALSE)&amp;"|"&amp;VLOOKUP('Stage 2'!$E$11,Lookups!$C$445:$E$467,3,FALSE)&amp;"|"&amp;VLOOKUP('Stage 2'!$E$10,Lookups!$C$480:$E$485,2,FALSE)))),Lookups!$H$98:$J$441,3,FALSE))</f>
        <v/>
      </c>
      <c r="F12" s="1"/>
      <c r="G12" s="112"/>
    </row>
    <row r="13" spans="1:9" x14ac:dyDescent="0.25">
      <c r="A13" s="128"/>
      <c r="B13" s="1"/>
      <c r="C13" s="102"/>
      <c r="D13" s="103"/>
      <c r="E13" s="170" t="str">
        <f>IF(OR(ISBLANK(C13),ISBLANK(D13)),"",D13*VLOOKUP((IF(OR(C13="Residential urban land",C13="Commercial/industrial urban land",C13="Open urban land",C13="Greenspace",C13="Community food growing",C13="Woodland",C13="Shrub", C13="Water"), "|||"&amp;C13, (VLOOKUP('Stage 2'!$E$9,Lookups!$C$471:$D$476,2,FALSE)&amp;"|"&amp;C13&amp;"|"&amp;VLOOKUP('Stage 2'!$E$12,Lookups!$C$489:$D$490,2,FALSE)&amp;"|"&amp;VLOOKUP('Stage 2'!$E$11,Lookups!$C$445:$E$467,3,FALSE)&amp;"|"&amp;VLOOKUP('Stage 2'!$E$10,Lookups!$C$480:$E$485,2,FALSE)))),Lookups!$H$98:$J$441,3,FALSE))</f>
        <v/>
      </c>
      <c r="F13" s="1"/>
      <c r="G13" s="112"/>
    </row>
    <row r="14" spans="1:9" x14ac:dyDescent="0.25">
      <c r="A14" s="128"/>
      <c r="B14" s="1"/>
      <c r="C14" s="102"/>
      <c r="D14" s="103"/>
      <c r="E14" s="170" t="str">
        <f>IF(OR(ISBLANK(C14),ISBLANK(D14)),"",D14*VLOOKUP((IF(OR(C14="Residential urban land",C14="Commercial/industrial urban land",C14="Open urban land",C14="Greenspace",C14="Community food growing",C14="Woodland",C14="Shrub", C14="Water"), "|||"&amp;C14, (VLOOKUP('Stage 2'!$E$9,Lookups!$C$471:$D$476,2,FALSE)&amp;"|"&amp;C14&amp;"|"&amp;VLOOKUP('Stage 2'!$E$12,Lookups!$C$489:$D$490,2,FALSE)&amp;"|"&amp;VLOOKUP('Stage 2'!$E$11,Lookups!$C$445:$E$467,3,FALSE)&amp;"|"&amp;VLOOKUP('Stage 2'!$E$10,Lookups!$C$480:$E$485,2,FALSE)))),Lookups!$H$98:$J$441,3,FALSE))</f>
        <v/>
      </c>
      <c r="F14" s="1"/>
      <c r="G14" s="112"/>
    </row>
    <row r="15" spans="1:9" x14ac:dyDescent="0.25">
      <c r="A15" s="128"/>
      <c r="B15" s="1"/>
      <c r="C15" s="102"/>
      <c r="D15" s="103"/>
      <c r="E15" s="170" t="str">
        <f>IF(OR(ISBLANK(C15),ISBLANK(D15)),"",D15*VLOOKUP((IF(OR(C15="Residential urban land",C15="Commercial/industrial urban land",C15="Open urban land",C15="Greenspace",C15="Community food growing",C15="Woodland",C15="Shrub", C15="Water"), "|||"&amp;C15, (VLOOKUP('Stage 2'!$E$9,Lookups!$C$471:$D$476,2,FALSE)&amp;"|"&amp;C15&amp;"|"&amp;VLOOKUP('Stage 2'!$E$12,Lookups!$C$489:$D$490,2,FALSE)&amp;"|"&amp;VLOOKUP('Stage 2'!$E$11,Lookups!$C$445:$E$467,3,FALSE)&amp;"|"&amp;VLOOKUP('Stage 2'!$E$10,Lookups!$C$480:$E$485,2,FALSE)))),Lookups!$H$98:$J$441,3,FALSE))</f>
        <v/>
      </c>
      <c r="F15" s="1"/>
      <c r="G15" s="112"/>
      <c r="I15" s="153"/>
    </row>
    <row r="16" spans="1:9" x14ac:dyDescent="0.25">
      <c r="A16" s="128"/>
      <c r="B16" s="1"/>
      <c r="C16" s="102"/>
      <c r="D16" s="103"/>
      <c r="E16" s="170" t="str">
        <f>IF(OR(ISBLANK(C16),ISBLANK(D16)),"",D16*VLOOKUP((IF(OR(C16="Residential urban land",C16="Commercial/industrial urban land",C16="Open urban land",C16="Greenspace",C16="Community food growing",C16="Woodland",C16="Shrub", C16="Water"), "|||"&amp;C16, (VLOOKUP('Stage 2'!$E$9,Lookups!$C$471:$D$476,2,FALSE)&amp;"|"&amp;C16&amp;"|"&amp;VLOOKUP('Stage 2'!$E$12,Lookups!$C$489:$D$490,2,FALSE)&amp;"|"&amp;VLOOKUP('Stage 2'!$E$11,Lookups!$C$445:$E$467,3,FALSE)&amp;"|"&amp;VLOOKUP('Stage 2'!$E$10,Lookups!$C$480:$E$485,2,FALSE)))),Lookups!$H$98:$J$441,3,FALSE))</f>
        <v/>
      </c>
      <c r="F16" s="1"/>
      <c r="G16" s="112"/>
    </row>
    <row r="17" spans="1:7" x14ac:dyDescent="0.25">
      <c r="A17" s="128"/>
      <c r="B17" s="1"/>
      <c r="C17" s="102"/>
      <c r="D17" s="103"/>
      <c r="E17" s="170" t="str">
        <f>IF(OR(ISBLANK(C17),ISBLANK(D17)),"",D17*VLOOKUP((IF(OR(C17="Residential urban land",C17="Commercial/industrial urban land",C17="Open urban land",C17="Greenspace",C17="Community food growing",C17="Woodland",C17="Shrub", C17="Water"), "|||"&amp;C17, (VLOOKUP('Stage 2'!$E$9,Lookups!$C$471:$D$476,2,FALSE)&amp;"|"&amp;C17&amp;"|"&amp;VLOOKUP('Stage 2'!$E$12,Lookups!$C$489:$D$490,2,FALSE)&amp;"|"&amp;VLOOKUP('Stage 2'!$E$11,Lookups!$C$445:$E$467,3,FALSE)&amp;"|"&amp;VLOOKUP('Stage 2'!$E$10,Lookups!$C$480:$E$485,2,FALSE)))),Lookups!$H$98:$J$441,3,FALSE))</f>
        <v/>
      </c>
      <c r="F17" s="1"/>
      <c r="G17" s="112"/>
    </row>
    <row r="18" spans="1:7" x14ac:dyDescent="0.25">
      <c r="A18" s="128"/>
      <c r="B18" s="1"/>
      <c r="C18" s="102"/>
      <c r="D18" s="186"/>
      <c r="E18" s="170" t="str">
        <f>IF(OR(ISBLANK(C18),ISBLANK(D18)),"",D18*VLOOKUP((IF(OR(C18="Residential urban land",C18="Commercial/industrial urban land",C18="Open urban land",C18="Greenspace",C18="Community food growing",C18="Woodland",C18="Shrub", C18="Water"), "|||"&amp;C18, (VLOOKUP('Stage 2'!$E$9,Lookups!$C$471:$D$476,2,FALSE)&amp;"|"&amp;C18&amp;"|"&amp;VLOOKUP('Stage 2'!$E$12,Lookups!$C$489:$D$490,2,FALSE)&amp;"|"&amp;VLOOKUP('Stage 2'!$E$11,Lookups!$C$445:$E$467,3,FALSE)&amp;"|"&amp;VLOOKUP('Stage 2'!$E$10,Lookups!$C$480:$E$485,2,FALSE)))),Lookups!$H$98:$J$441,3,FALSE))</f>
        <v/>
      </c>
      <c r="F18" s="1"/>
      <c r="G18" s="112"/>
    </row>
    <row r="19" spans="1:7" x14ac:dyDescent="0.25">
      <c r="A19" s="128"/>
      <c r="B19" s="1"/>
      <c r="C19" s="102"/>
      <c r="D19" s="186"/>
      <c r="E19" s="170" t="str">
        <f>IF(OR(ISBLANK(C19),ISBLANK(D19)),"",D19*VLOOKUP((IF(OR(C19="Residential urban land",C19="Commercial/industrial urban land",C19="Open urban land",C19="Greenspace",C19="Community food growing",C19="Woodland",C19="Shrub", C19="Water"), "|||"&amp;C19, (VLOOKUP('Stage 2'!$E$9,Lookups!$C$471:$D$476,2,FALSE)&amp;"|"&amp;C19&amp;"|"&amp;VLOOKUP('Stage 2'!$E$12,Lookups!$C$489:$D$490,2,FALSE)&amp;"|"&amp;VLOOKUP('Stage 2'!$E$11,Lookups!$C$445:$E$467,3,FALSE)&amp;"|"&amp;VLOOKUP('Stage 2'!$E$10,Lookups!$C$480:$E$485,2,FALSE)))),Lookups!$H$98:$J$441,3,FALSE))</f>
        <v/>
      </c>
      <c r="F19" s="1"/>
      <c r="G19" s="112"/>
    </row>
    <row r="20" spans="1:7" x14ac:dyDescent="0.25">
      <c r="A20" s="128"/>
      <c r="B20" s="1"/>
      <c r="C20" s="102"/>
      <c r="D20" s="186"/>
      <c r="E20" s="170" t="str">
        <f>IF(OR(ISBLANK(C20),ISBLANK(D20)),"",D20*VLOOKUP((IF(OR(C20="Residential urban land",C20="Commercial/industrial urban land",C20="Open urban land",C20="Greenspace",C20="Community food growing",C20="Woodland",C20="Shrub", C20="Water"), "|||"&amp;C20, (VLOOKUP('Stage 2'!$E$9,Lookups!$C$471:$D$476,2,FALSE)&amp;"|"&amp;C20&amp;"|"&amp;VLOOKUP('Stage 2'!$E$12,Lookups!$C$489:$D$490,2,FALSE)&amp;"|"&amp;VLOOKUP('Stage 2'!$E$11,Lookups!$C$445:$E$467,3,FALSE)&amp;"|"&amp;VLOOKUP('Stage 2'!$E$10,Lookups!$C$480:$E$485,2,FALSE)))),Lookups!$H$98:$J$441,3,FALSE))</f>
        <v/>
      </c>
      <c r="F20" s="1"/>
      <c r="G20" s="112"/>
    </row>
    <row r="21" spans="1:7" x14ac:dyDescent="0.25">
      <c r="A21" s="128"/>
      <c r="B21" s="1"/>
      <c r="C21" s="102"/>
      <c r="D21" s="186"/>
      <c r="E21" s="170" t="str">
        <f>IF(OR(ISBLANK(C21),ISBLANK(D21)),"",D21*VLOOKUP((IF(OR(C21="Residential urban land",C21="Commercial/industrial urban land",C21="Open urban land",C21="Greenspace",C21="Community food growing",C21="Woodland",C21="Shrub", C21="Water"), "|||"&amp;C21, (VLOOKUP('Stage 2'!$E$9,Lookups!$C$471:$D$476,2,FALSE)&amp;"|"&amp;C21&amp;"|"&amp;VLOOKUP('Stage 2'!$E$12,Lookups!$C$489:$D$490,2,FALSE)&amp;"|"&amp;VLOOKUP('Stage 2'!$E$11,Lookups!$C$445:$E$467,3,FALSE)&amp;"|"&amp;VLOOKUP('Stage 2'!$E$10,Lookups!$C$480:$E$485,2,FALSE)))),Lookups!$H$98:$J$441,3,FALSE))</f>
        <v/>
      </c>
      <c r="F21" s="1"/>
      <c r="G21" s="112"/>
    </row>
    <row r="22" spans="1:7" x14ac:dyDescent="0.25">
      <c r="A22" s="128"/>
      <c r="B22" s="1"/>
      <c r="C22" s="102"/>
      <c r="D22" s="186"/>
      <c r="E22" s="170" t="str">
        <f>IF(OR(ISBLANK(C22),ISBLANK(D22)),"",D22*VLOOKUP((IF(OR(C22="Residential urban land",C22="Commercial/industrial urban land",C22="Open urban land",C22="Greenspace",C22="Community food growing",C22="Woodland",C22="Shrub", C22="Water"), "|||"&amp;C22, (VLOOKUP('Stage 2'!$E$9,Lookups!$C$471:$D$476,2,FALSE)&amp;"|"&amp;C22&amp;"|"&amp;VLOOKUP('Stage 2'!$E$12,Lookups!$C$489:$D$490,2,FALSE)&amp;"|"&amp;VLOOKUP('Stage 2'!$E$11,Lookups!$C$445:$E$467,3,FALSE)&amp;"|"&amp;VLOOKUP('Stage 2'!$E$10,Lookups!$C$480:$E$485,2,FALSE)))),Lookups!$H$98:$J$441,3,FALSE))</f>
        <v/>
      </c>
      <c r="F22" s="1"/>
      <c r="G22" s="112"/>
    </row>
    <row r="23" spans="1:7" x14ac:dyDescent="0.25">
      <c r="A23" s="128"/>
      <c r="B23" s="1"/>
      <c r="C23" s="102"/>
      <c r="D23" s="187"/>
      <c r="E23" s="170" t="str">
        <f>IF(OR(ISBLANK(C23),ISBLANK(D23)),"",D23*VLOOKUP((IF(OR(C23="Residential urban land",C23="Commercial/industrial urban land",C23="Open urban land",C23="Greenspace",C23="Community food growing",C23="Woodland",C23="Shrub", C23="Water"), "|||"&amp;C23, (VLOOKUP('Stage 2'!$E$9,Lookups!$C$471:$D$476,2,FALSE)&amp;"|"&amp;C23&amp;"|"&amp;VLOOKUP('Stage 2'!$E$12,Lookups!$C$489:$D$490,2,FALSE)&amp;"|"&amp;VLOOKUP('Stage 2'!$E$11,Lookups!$C$445:$E$467,3,FALSE)&amp;"|"&amp;VLOOKUP('Stage 2'!$E$10,Lookups!$C$480:$E$485,2,FALSE)))),Lookups!$H$98:$J$441,3,FALSE))</f>
        <v/>
      </c>
      <c r="F23" s="1"/>
      <c r="G23" s="112"/>
    </row>
    <row r="24" spans="1:7" x14ac:dyDescent="0.25">
      <c r="A24" s="128"/>
      <c r="B24" s="1"/>
      <c r="C24" s="102"/>
      <c r="D24" s="185"/>
      <c r="E24" s="170" t="str">
        <f>IF(OR(ISBLANK(C24),ISBLANK(D24)),"",D24*VLOOKUP((IF(OR(C24="Residential urban land",C24="Commercial/industrial urban land",C24="Open urban land",C24="Greenspace",C24="Community food growing",C24="Woodland",C24="Shrub", C24="Water"), "|||"&amp;C24, (VLOOKUP('Stage 2'!$E$9,Lookups!$C$471:$D$476,2,FALSE)&amp;"|"&amp;C24&amp;"|"&amp;VLOOKUP('Stage 2'!$E$12,Lookups!$C$489:$D$490,2,FALSE)&amp;"|"&amp;VLOOKUP('Stage 2'!$E$11,Lookups!$C$445:$E$467,3,FALSE)&amp;"|"&amp;VLOOKUP('Stage 2'!$E$10,Lookups!$C$480:$E$485,2,FALSE)))),Lookups!$H$98:$J$441,3,FALSE))</f>
        <v/>
      </c>
      <c r="F24" s="1"/>
      <c r="G24" s="112"/>
    </row>
    <row r="25" spans="1:7" x14ac:dyDescent="0.25">
      <c r="A25" s="128"/>
      <c r="B25" s="1"/>
      <c r="C25" s="102"/>
      <c r="D25" s="185"/>
      <c r="E25" s="170" t="str">
        <f>IF(OR(ISBLANK(C25),ISBLANK(D25)),"",D25*VLOOKUP((IF(OR(C25="Residential urban land",C25="Commercial/industrial urban land",C25="Open urban land",C25="Greenspace",C25="Community food growing",C25="Woodland",C25="Shrub", C25="Water"), "|||"&amp;C25, (VLOOKUP('Stage 2'!$E$9,Lookups!$C$471:$D$476,2,FALSE)&amp;"|"&amp;C25&amp;"|"&amp;VLOOKUP('Stage 2'!$E$12,Lookups!$C$489:$D$490,2,FALSE)&amp;"|"&amp;VLOOKUP('Stage 2'!$E$11,Lookups!$C$445:$E$467,3,FALSE)&amp;"|"&amp;VLOOKUP('Stage 2'!$E$10,Lookups!$C$480:$E$485,2,FALSE)))),Lookups!$H$98:$J$441,3,FALSE))</f>
        <v/>
      </c>
      <c r="F25" s="1"/>
      <c r="G25" s="112"/>
    </row>
    <row r="26" spans="1:7" ht="15.75" thickBot="1" x14ac:dyDescent="0.3">
      <c r="A26" s="128"/>
      <c r="B26" s="1"/>
      <c r="C26" s="111"/>
      <c r="D26" s="182"/>
      <c r="E26" s="189" t="str">
        <f>IF(OR(ISBLANK(C26),ISBLANK(D26)),"",D26*VLOOKUP((IF(OR(C26="Residential urban land",C26="Commercial/industrial urban land",C26="Open urban land",C26="Greenspace",C26="Community food growing",C26="Woodland",C26="Shrub", C26="Water"), "|||"&amp;C26, (VLOOKUP('Stage 2'!$E$9,Lookups!$C$471:$D$476,2,FALSE)&amp;"|"&amp;C26&amp;"|"&amp;VLOOKUP('Stage 2'!$E$12,Lookups!$C$489:$D$490,2,FALSE)&amp;"|"&amp;VLOOKUP('Stage 2'!$E$11,Lookups!$C$445:$E$467,3,FALSE)&amp;"|"&amp;VLOOKUP('Stage 2'!$E$10,Lookups!$C$480:$E$485,2,FALSE)))),Lookups!$H$98:$J$441,3,FALSE))</f>
        <v/>
      </c>
      <c r="F26" s="1"/>
      <c r="G26" s="112"/>
    </row>
    <row r="27" spans="1:7" x14ac:dyDescent="0.25">
      <c r="A27" s="128"/>
      <c r="B27" s="1"/>
      <c r="C27" s="69" t="s">
        <v>114</v>
      </c>
      <c r="D27" s="120">
        <f>SUM(D10:D26)</f>
        <v>0</v>
      </c>
      <c r="E27" s="98">
        <f>SUM(E10:E26)</f>
        <v>0</v>
      </c>
      <c r="F27" s="1"/>
      <c r="G27" s="112"/>
    </row>
    <row r="28" spans="1:7" ht="15.75" thickBot="1" x14ac:dyDescent="0.3">
      <c r="A28" s="128"/>
      <c r="B28" s="138"/>
      <c r="C28" s="125"/>
      <c r="D28" s="125"/>
      <c r="E28" s="125"/>
      <c r="F28" s="125"/>
      <c r="G28" s="126"/>
    </row>
    <row r="29" spans="1:7" ht="15.75" thickTop="1" x14ac:dyDescent="0.25"/>
  </sheetData>
  <sheetProtection algorithmName="SHA-512" hashValue="kR7ml2G4heTlkxP4BuAWZBjDxWLu12ZPefEv6mcGzlzWgeZW2mIwoWB1LFtcULd9JcJ+3dOqgbzhDJx1puwYLg==" saltValue="gjGsXpTdhisGVF7cwu6xGw==" spinCount="100000" sheet="1" selectLockedCells="1"/>
  <protectedRanges>
    <protectedRange algorithmName="SHA-512" hashValue="MvmTLotpKiuRnedI3A4NjKJPVt4Aw8hcOvmE+D0rBMjM9TiU4ekXkprnHN0k9oVg0inb+CLcUsLFrJxBFcC6uw==" saltValue="93Zg0snhziumGVhjlXa2zg==" spinCount="100000" sqref="C10:D26" name="Range1"/>
  </protectedRanges>
  <mergeCells count="2">
    <mergeCell ref="B3:G5"/>
    <mergeCell ref="C7:F7"/>
  </mergeCells>
  <dataValidations xWindow="165" yWindow="453" count="1">
    <dataValidation allowBlank="1" showInputMessage="1" showErrorMessage="1" prompt="Please enter area in hectares." sqref="D10:D26" xr:uid="{F230AB9C-8339-4373-B4B8-7B45A3D33AEE}"/>
  </dataValidations>
  <pageMargins left="0.7" right="0.7" top="0.75" bottom="0.75" header="0.3" footer="0.3"/>
  <extLst>
    <ext xmlns:x14="http://schemas.microsoft.com/office/spreadsheetml/2009/9/main" uri="{CCE6A557-97BC-4b89-ADB6-D9C93CAAB3DF}">
      <x14:dataValidations xmlns:xm="http://schemas.microsoft.com/office/excel/2006/main" xWindow="165" yWindow="453" count="2">
        <x14:dataValidation type="list" allowBlank="1" showInputMessage="1" showErrorMessage="1" errorTitle="Landcover" error="Please select all pre exisitng landcover types." prompt="Select exisiting (post-development) land use types from the drop down list." xr:uid="{FA0D53B1-FD66-49E4-975D-2D0980FA619E}">
          <x14:formula1>
            <xm:f>Lookups!$G$480:$G$487</xm:f>
          </x14:formula1>
          <xm:sqref>C11:C26</xm:sqref>
        </x14:dataValidation>
        <x14:dataValidation type="list" allowBlank="1" showInputMessage="1" showErrorMessage="1" errorTitle="Landcover" error="Please select all pre exisitng landcover types." prompt="Select (post-development) land use types from the drop down list." xr:uid="{F3AD2499-6C78-4EF9-8FA6-77825DA57266}">
          <x14:formula1>
            <xm:f>Lookups!$G$480:$G$487</xm:f>
          </x14:formula1>
          <xm:sqref>C10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082EE-826E-403B-BCD4-7E1A897AA803}">
  <dimension ref="B2:L33"/>
  <sheetViews>
    <sheetView showRowColHeaders="0" zoomScaleNormal="100" workbookViewId="0"/>
  </sheetViews>
  <sheetFormatPr defaultColWidth="9.140625" defaultRowHeight="15" x14ac:dyDescent="0.25"/>
  <cols>
    <col min="1" max="1" width="9.140625" style="127"/>
    <col min="2" max="2" width="4.85546875" style="127" customWidth="1"/>
    <col min="3" max="3" width="30.42578125" style="127" customWidth="1"/>
    <col min="4" max="4" width="26.85546875" style="127" customWidth="1"/>
    <col min="5" max="5" width="9.140625" style="127"/>
    <col min="6" max="6" width="22.140625" style="127" customWidth="1"/>
    <col min="7" max="7" width="23.28515625" style="127" customWidth="1"/>
    <col min="8" max="10" width="9.140625" style="127"/>
    <col min="11" max="11" width="7.140625" style="127" customWidth="1"/>
    <col min="12" max="16384" width="9.140625" style="127"/>
  </cols>
  <sheetData>
    <row r="2" spans="2:12" ht="15.75" thickBot="1" x14ac:dyDescent="0.3"/>
    <row r="3" spans="2:12" ht="15.75" thickTop="1" x14ac:dyDescent="0.25">
      <c r="B3" s="267" t="s">
        <v>118</v>
      </c>
      <c r="C3" s="268"/>
      <c r="D3" s="268"/>
      <c r="E3" s="268"/>
      <c r="F3" s="268"/>
      <c r="G3" s="268"/>
      <c r="H3" s="269"/>
    </row>
    <row r="4" spans="2:12" x14ac:dyDescent="0.25">
      <c r="B4" s="257"/>
      <c r="C4" s="258"/>
      <c r="D4" s="258"/>
      <c r="E4" s="258"/>
      <c r="F4" s="258"/>
      <c r="G4" s="258"/>
      <c r="H4" s="259"/>
    </row>
    <row r="5" spans="2:12" x14ac:dyDescent="0.25">
      <c r="B5" s="257"/>
      <c r="C5" s="258"/>
      <c r="D5" s="258"/>
      <c r="E5" s="258"/>
      <c r="F5" s="258"/>
      <c r="G5" s="258"/>
      <c r="H5" s="259"/>
    </row>
    <row r="6" spans="2:12" ht="17.25" x14ac:dyDescent="0.25">
      <c r="B6" s="122"/>
      <c r="C6" s="1"/>
      <c r="D6" s="1"/>
      <c r="E6" s="1"/>
      <c r="F6" s="1"/>
      <c r="G6" s="1"/>
      <c r="H6" s="112"/>
      <c r="L6" s="130"/>
    </row>
    <row r="7" spans="2:12" ht="18" x14ac:dyDescent="0.25">
      <c r="B7" s="122"/>
      <c r="C7" s="266" t="s">
        <v>119</v>
      </c>
      <c r="D7" s="266"/>
      <c r="E7" s="1"/>
      <c r="F7" s="1"/>
      <c r="G7" s="1"/>
      <c r="H7" s="112"/>
      <c r="L7" s="130"/>
    </row>
    <row r="8" spans="2:12" ht="18" hidden="1" customHeight="1" x14ac:dyDescent="0.35">
      <c r="B8" s="122"/>
      <c r="C8" s="1"/>
      <c r="D8" s="1"/>
      <c r="E8" s="1"/>
      <c r="F8" s="1"/>
      <c r="G8" s="1"/>
      <c r="H8" s="154"/>
      <c r="I8" s="157"/>
      <c r="J8" s="158"/>
      <c r="L8" s="132"/>
    </row>
    <row r="9" spans="2:12" ht="12" hidden="1" customHeight="1" x14ac:dyDescent="0.35">
      <c r="B9" s="122"/>
      <c r="C9" s="1"/>
      <c r="D9" s="1"/>
      <c r="E9" s="1"/>
      <c r="F9" s="1"/>
      <c r="G9" s="1"/>
      <c r="H9" s="155"/>
      <c r="I9" s="159"/>
      <c r="J9" s="160"/>
      <c r="L9" s="132"/>
    </row>
    <row r="10" spans="2:12" ht="18" hidden="1" thickBot="1" x14ac:dyDescent="0.4">
      <c r="B10" s="122"/>
      <c r="C10" s="66" t="s">
        <v>120</v>
      </c>
      <c r="D10" s="93" t="str">
        <f>'Stage 1'!D29</f>
        <v/>
      </c>
      <c r="E10" s="22"/>
      <c r="F10" s="1"/>
      <c r="G10" s="1"/>
      <c r="H10" s="155"/>
      <c r="I10" s="159"/>
      <c r="J10" s="160"/>
      <c r="L10" s="132"/>
    </row>
    <row r="11" spans="2:12" ht="21" hidden="1" customHeight="1" thickBot="1" x14ac:dyDescent="0.4">
      <c r="B11" s="122"/>
      <c r="C11" s="67" t="s">
        <v>121</v>
      </c>
      <c r="D11" s="94" t="e">
        <f>'Stage 3'!#REF!-'Stage 2'!#REF!</f>
        <v>#REF!</v>
      </c>
      <c r="E11" s="24"/>
      <c r="F11" s="1"/>
      <c r="G11" s="1"/>
      <c r="H11" s="155"/>
      <c r="I11" s="161"/>
      <c r="J11" s="160"/>
      <c r="K11" s="130"/>
      <c r="L11" s="133"/>
    </row>
    <row r="12" spans="2:12" ht="18" hidden="1" thickBot="1" x14ac:dyDescent="0.3">
      <c r="B12" s="122"/>
      <c r="C12" s="67" t="s">
        <v>122</v>
      </c>
      <c r="D12" s="63" t="e">
        <f>D10+D11</f>
        <v>#VALUE!</v>
      </c>
      <c r="E12" s="25"/>
      <c r="F12" s="1"/>
      <c r="G12" s="1"/>
      <c r="H12" s="135"/>
      <c r="I12" s="162"/>
      <c r="J12" s="132"/>
      <c r="K12" s="132"/>
      <c r="L12" s="133"/>
    </row>
    <row r="13" spans="2:12" ht="29.25" hidden="1" customHeight="1" x14ac:dyDescent="0.25">
      <c r="B13" s="122"/>
      <c r="C13" s="15" t="s">
        <v>123</v>
      </c>
      <c r="D13" s="95" t="e">
        <f>D12*1.2</f>
        <v>#VALUE!</v>
      </c>
      <c r="E13" s="26"/>
      <c r="F13" s="1"/>
      <c r="G13" s="1"/>
      <c r="H13" s="137"/>
      <c r="I13" s="163"/>
      <c r="J13" s="133"/>
      <c r="K13" s="133"/>
    </row>
    <row r="14" spans="2:12" ht="11.25" hidden="1" customHeight="1" x14ac:dyDescent="0.25">
      <c r="B14" s="122"/>
      <c r="C14" s="22"/>
      <c r="D14" s="156"/>
      <c r="E14" s="22"/>
      <c r="F14" s="1"/>
      <c r="G14" s="1"/>
      <c r="H14" s="112"/>
    </row>
    <row r="15" spans="2:12" hidden="1" x14ac:dyDescent="0.25">
      <c r="B15" s="122"/>
      <c r="C15" s="22"/>
      <c r="D15" s="156"/>
      <c r="E15" s="22"/>
      <c r="F15" s="1"/>
      <c r="G15" s="1"/>
      <c r="H15" s="112"/>
    </row>
    <row r="16" spans="2:12" ht="15.75" hidden="1" thickBot="1" x14ac:dyDescent="0.3">
      <c r="B16" s="122"/>
      <c r="C16" s="66" t="s">
        <v>124</v>
      </c>
      <c r="D16" s="93" t="str">
        <f>'Stage 1'!D34</f>
        <v/>
      </c>
      <c r="E16" s="22"/>
      <c r="F16" s="1"/>
      <c r="G16" s="1"/>
      <c r="H16" s="112"/>
    </row>
    <row r="17" spans="2:8" ht="15.75" hidden="1" thickBot="1" x14ac:dyDescent="0.3">
      <c r="B17" s="122"/>
      <c r="C17" s="67" t="s">
        <v>125</v>
      </c>
      <c r="D17" s="96">
        <f>'Stage 3'!E27-'Stage 2'!E32</f>
        <v>0</v>
      </c>
      <c r="E17" s="22"/>
      <c r="F17" s="1"/>
      <c r="G17" s="1"/>
      <c r="H17" s="112"/>
    </row>
    <row r="18" spans="2:8" ht="15.75" hidden="1" thickBot="1" x14ac:dyDescent="0.3">
      <c r="B18" s="122"/>
      <c r="C18" s="65" t="s">
        <v>126</v>
      </c>
      <c r="D18" s="83" t="e">
        <f>D16+D17</f>
        <v>#VALUE!</v>
      </c>
      <c r="E18" s="18"/>
      <c r="F18" s="1"/>
      <c r="G18" s="1"/>
      <c r="H18" s="112"/>
    </row>
    <row r="19" spans="2:8" hidden="1" x14ac:dyDescent="0.25">
      <c r="B19" s="122"/>
      <c r="C19" s="15" t="s">
        <v>127</v>
      </c>
      <c r="D19" s="95" t="e">
        <f>D18*1.2</f>
        <v>#VALUE!</v>
      </c>
      <c r="E19" s="18"/>
      <c r="F19" s="1"/>
      <c r="G19" s="1"/>
      <c r="H19" s="112"/>
    </row>
    <row r="20" spans="2:8" ht="17.25" hidden="1" x14ac:dyDescent="0.25">
      <c r="B20" s="122"/>
      <c r="C20" s="9"/>
      <c r="D20" s="11"/>
      <c r="E20" s="12"/>
      <c r="F20" s="1"/>
      <c r="G20" s="1"/>
      <c r="H20" s="112"/>
    </row>
    <row r="21" spans="2:8" ht="19.5" customHeight="1" x14ac:dyDescent="0.25">
      <c r="B21" s="122"/>
      <c r="C21" s="270" t="str">
        <f>IFERROR(IF(AND('Stage 1'!$D$9&lt;DATE(2025,1,1),OR((VLOOKUP('Stage 1'!$D$13,Lookups!$C$8:$G$92,2,FALSE))&gt;(VLOOKUP('Stage 1'!$D$13,Lookups!$C$8:$G$92,4,FALSE)),(VLOOKUP('Stage 1'!$D$13,Lookups!$C$8:$G$92,3,FALSE))&gt;(VLOOKUP('Stage 1'!$D$13,Lookups!$C$8:$G$92,5,FALSE)))),"Post-2025 Annual Nutrient Budget","Annual Nutrient Budget"),"")</f>
        <v/>
      </c>
      <c r="D21" s="270"/>
      <c r="E21" s="12"/>
      <c r="F21" s="270" t="str">
        <f>IFERROR(IF(AND('Stage 1'!$D$9&lt;DATE(2025,1,1),OR((VLOOKUP('Stage 1'!$D$13,Lookups!$C$8:$G$92,2,FALSE))&gt;(VLOOKUP('Stage 1'!$D$13,Lookups!$C$8:$G$92,4,FALSE)),(VLOOKUP('Stage 1'!$D$13,Lookups!$C$8:$G$92,3,FALSE))&gt;(VLOOKUP('Stage 1'!$D$13,Lookups!$C$8:$G$92,5,FALSE)))),"Pre-2025 Annual Nutrient Budget",""),"")</f>
        <v/>
      </c>
      <c r="G21" s="270"/>
      <c r="H21" s="112"/>
    </row>
    <row r="22" spans="2:8" ht="15" hidden="1" customHeight="1" x14ac:dyDescent="0.25">
      <c r="B22" s="122"/>
      <c r="C22" s="271" t="s">
        <v>128</v>
      </c>
      <c r="D22" s="273" t="e">
        <f>IF(ROUND(D13,2)&lt;0,0&amp;" kg TP/year",ROUND(D13,2)&amp;" kg TP/year")</f>
        <v>#VALUE!</v>
      </c>
      <c r="E22" s="1"/>
      <c r="F22" s="271" t="str">
        <f>IFERROR(IF(AND('Stage 1'!$D$9&lt;DATE(2025,1,1),OR((VLOOKUP('Stage 1'!$D$13,Lookups!$C$8:$G$92,2,FALSE))&gt;(VLOOKUP('Stage 1'!$D$13,Lookups!$C$8:$G$92,4,FALSE)),(VLOOKUP('Stage 1'!$D$13,Lookups!$C$8:$G$92,3,FALSE))&gt;(VLOOKUP('Stage 1'!$D$13,Lookups!$C$8:$G$92,5,FALSE)))),"The pre-2025 annual phosphorus load to mitigate is:",""),"")</f>
        <v/>
      </c>
      <c r="G22" s="272" t="str">
        <f>IFERROR(IF(AND('Stage 1'!$D$9&lt;DATE(2025,1,1),OR((VLOOKUP('Stage 1'!$D$13,Lookups!$C$8:$G$92,2,FALSE))&gt;(VLOOKUP('Stage 1'!$D$13,Lookups!$C$8:$G$92,4,FALSE)),(VLOOKUP('Stage 1'!$D$13,Lookups!$C$8:$G$92,3,FALSE))&gt;(VLOOKUP('Stage 1'!$D$13,Lookups!$C$8:$G$92,5,FALSE)))),IF(ROUND(('Stage 3'!#REF!-'Stage 2'!#REF!+'Stage 1'!#REF!)*1.2,2)&lt;0,0&amp;" kg TP/year",ROUND(('Stage 3'!#REF!-'Stage 2'!#REF!+'Stage 1'!#REF!)*1.2,2)&amp;" kg TP/year"),""),"")</f>
        <v/>
      </c>
      <c r="H22" s="112"/>
    </row>
    <row r="23" spans="2:8" ht="15" hidden="1" customHeight="1" x14ac:dyDescent="0.25">
      <c r="B23" s="122"/>
      <c r="C23" s="271"/>
      <c r="D23" s="273"/>
      <c r="E23" s="1"/>
      <c r="F23" s="271"/>
      <c r="G23" s="272"/>
      <c r="H23" s="112"/>
    </row>
    <row r="24" spans="2:8" ht="15" hidden="1" customHeight="1" x14ac:dyDescent="0.25">
      <c r="B24" s="122"/>
      <c r="C24" s="271"/>
      <c r="D24" s="273"/>
      <c r="E24" s="1"/>
      <c r="F24" s="271"/>
      <c r="G24" s="272"/>
      <c r="H24" s="112"/>
    </row>
    <row r="25" spans="2:8" ht="15" hidden="1" customHeight="1" x14ac:dyDescent="0.25">
      <c r="B25" s="122"/>
      <c r="C25" s="271"/>
      <c r="D25" s="273"/>
      <c r="E25" s="1"/>
      <c r="F25" s="271"/>
      <c r="G25" s="272"/>
      <c r="H25" s="112"/>
    </row>
    <row r="26" spans="2:8" ht="15" hidden="1" customHeight="1" x14ac:dyDescent="0.25">
      <c r="B26" s="122"/>
      <c r="C26" s="22"/>
      <c r="D26" s="52"/>
      <c r="E26" s="1"/>
      <c r="F26" s="1"/>
      <c r="G26" s="1"/>
      <c r="H26" s="112"/>
    </row>
    <row r="27" spans="2:8" hidden="1" x14ac:dyDescent="0.25">
      <c r="B27" s="122"/>
      <c r="C27" s="22"/>
      <c r="D27" s="52"/>
      <c r="E27" s="1"/>
      <c r="F27" s="79"/>
      <c r="G27" s="1"/>
      <c r="H27" s="112"/>
    </row>
    <row r="28" spans="2:8" ht="15" customHeight="1" x14ac:dyDescent="0.25">
      <c r="B28" s="122"/>
      <c r="C28" s="271" t="s">
        <v>129</v>
      </c>
      <c r="D28" s="273" t="e">
        <f>IF(ROUND(D19,2)&lt;0,0&amp;" kg TN/year",ROUND(D19,2)&amp;" kg TN/year")</f>
        <v>#VALUE!</v>
      </c>
      <c r="E28" s="1"/>
      <c r="F28" s="79"/>
      <c r="G28" s="272" t="str">
        <f>IFERROR(IF(AND('Stage 1'!$D$9&lt;DATE(2025,1,1),OR((VLOOKUP('Stage 1'!$D$13,Lookups!$C$8:$G$92,2,FALSE))&gt;(VLOOKUP('Stage 1'!$D$13,Lookups!$C$8:$G$92,4,FALSE)),(VLOOKUP('Stage 1'!$D$13,Lookups!$C$8:$G$92,3,FALSE))&gt;(VLOOKUP('Stage 1'!$D$13,Lookups!$C$8:$G$92,5,FALSE)))),IF(ROUND(('Stage 3'!E27-'Stage 2'!E32+'Stage 1'!H22)*1.2,2)&lt;0,0&amp;" kg TN/year",ROUND(('Stage 3'!E27-'Stage 2'!E32+'Stage 1'!H22)*1.2,2)&amp;" kg TN/year"),""),"")</f>
        <v/>
      </c>
      <c r="H28" s="112"/>
    </row>
    <row r="29" spans="2:8" ht="15.75" customHeight="1" x14ac:dyDescent="0.25">
      <c r="B29" s="122"/>
      <c r="C29" s="271"/>
      <c r="D29" s="273"/>
      <c r="E29" s="1"/>
      <c r="F29" s="271" t="str">
        <f>IFERROR(IF(AND('Stage 1'!$D$9&lt;DATE(2025,1,1),OR((VLOOKUP('Stage 1'!$D$13,Lookups!$C$8:$G$92,2,FALSE))&gt;(VLOOKUP('Stage 1'!$D$13,Lookups!$C$8:$G$92,4,FALSE)),(VLOOKUP('Stage 1'!$D$13,Lookups!$C$8:$G$92,3,FALSE))&gt;(VLOOKUP('Stage 1'!$D$13,Lookups!$C$8:$G$92,5,FALSE)))),"The pre-2025 annual nitrogen load to mitigate is:",""),"")</f>
        <v/>
      </c>
      <c r="G29" s="272"/>
      <c r="H29" s="112"/>
    </row>
    <row r="30" spans="2:8" ht="15" customHeight="1" x14ac:dyDescent="0.25">
      <c r="B30" s="122"/>
      <c r="C30" s="271"/>
      <c r="D30" s="273"/>
      <c r="E30" s="1"/>
      <c r="F30" s="271"/>
      <c r="G30" s="272"/>
      <c r="H30" s="112"/>
    </row>
    <row r="31" spans="2:8" ht="15.75" customHeight="1" x14ac:dyDescent="0.25">
      <c r="B31" s="122"/>
      <c r="C31" s="271"/>
      <c r="D31" s="273"/>
      <c r="E31" s="1"/>
      <c r="F31" s="271"/>
      <c r="G31" s="272"/>
      <c r="H31" s="112"/>
    </row>
    <row r="32" spans="2:8" ht="15.75" thickBot="1" x14ac:dyDescent="0.3">
      <c r="B32" s="138"/>
      <c r="C32" s="125"/>
      <c r="D32" s="125"/>
      <c r="E32" s="125"/>
      <c r="F32" s="125"/>
      <c r="G32" s="125"/>
      <c r="H32" s="126"/>
    </row>
    <row r="33" ht="15.75" thickTop="1" x14ac:dyDescent="0.25"/>
  </sheetData>
  <sheetProtection algorithmName="SHA-512" hashValue="9Mu3aZ4OE6D776N1C1KUbnIEi5Bs55tC6eDQWFdEBPvmIglc0sEexiDpE+AqKAKeC9EhXCQR7eo3r8zjyXNsOQ==" saltValue="xdxteuXXQZAKNUt70OyW5w==" spinCount="100000" sheet="1" objects="1"/>
  <mergeCells count="12">
    <mergeCell ref="B3:H5"/>
    <mergeCell ref="C7:D7"/>
    <mergeCell ref="F21:G21"/>
    <mergeCell ref="F22:F25"/>
    <mergeCell ref="F29:F31"/>
    <mergeCell ref="G22:G25"/>
    <mergeCell ref="G28:G31"/>
    <mergeCell ref="C22:C25"/>
    <mergeCell ref="C28:C31"/>
    <mergeCell ref="D22:D25"/>
    <mergeCell ref="D28:D31"/>
    <mergeCell ref="C21:D21"/>
  </mergeCells>
  <conditionalFormatting sqref="G22:G25">
    <cfRule type="expression" dxfId="1" priority="2">
      <formula>($C$21="Post-2025 Annual Nutrient Budget")</formula>
    </cfRule>
  </conditionalFormatting>
  <conditionalFormatting sqref="G28:G31">
    <cfRule type="expression" dxfId="0" priority="1">
      <formula>($C$21="Post-2025 Annual Nutrient Budget")</formula>
    </cfRule>
  </conditionalFormatting>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C3125CCC-BE42-4D41-A6C3-63F556A5FD41}">
          <x14:formula1>
            <xm:f>'C:\Users\DS56\OneDrive - Ricardo Plc\NE NN\[Copy of Herefordshire Council Phosphate Budget Calculator_Final.xlsx]Stage 2 and 3 lookups'!#REF!</xm:f>
          </x14:formula1>
          <xm:sqref>J9:J11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1709A144B6CB1247B0EB17D39170EEBB" ma:contentTypeVersion="13" ma:contentTypeDescription="Create a new document." ma:contentTypeScope="" ma:versionID="67ecd45f770d3e359dffe841dc5eb5e3">
  <xsd:schema xmlns:xsd="http://www.w3.org/2001/XMLSchema" xmlns:xs="http://www.w3.org/2001/XMLSchema" xmlns:p="http://schemas.microsoft.com/office/2006/metadata/properties" xmlns:ns2="662745e8-e224-48e8-a2e3-254862b8c2f5" xmlns:ns3="50608f39-3744-4f2b-8ddf-6077ea9dcf84" xmlns:ns4="41b1b97e-58d0-4f82-aacc-4a7d6fa43521" targetNamespace="http://schemas.microsoft.com/office/2006/metadata/properties" ma:root="true" ma:fieldsID="42e099b84febb67c73aa22ba39b9046a" ns2:_="" ns3:_="" ns4:_="">
    <xsd:import namespace="662745e8-e224-48e8-a2e3-254862b8c2f5"/>
    <xsd:import namespace="50608f39-3744-4f2b-8ddf-6077ea9dcf84"/>
    <xsd:import namespace="41b1b97e-58d0-4f82-aacc-4a7d6fa43521"/>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DateTaken" minOccurs="0"/>
                <xsd:element ref="ns3:MediaLengthInSeconds"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9ba13cf-7d0b-4653-bdd4-d6cd8989d710}" ma:internalName="TaxCatchAll" ma:showField="CatchAllData" ma:web="41b1b97e-58d0-4f82-aacc-4a7d6fa4352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9ba13cf-7d0b-4653-bdd4-d6cd8989d710}" ma:internalName="TaxCatchAllLabel" ma:readOnly="true" ma:showField="CatchAllDataLabel" ma:web="41b1b97e-58d0-4f82-aacc-4a7d6fa43521">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Natural England Programmes" ma:internalName="Team">
      <xsd:simpleType>
        <xsd:restriction base="dms:Text"/>
      </xsd:simpleType>
    </xsd:element>
    <xsd:element name="Topic" ma:index="20" nillable="true" ma:displayName="Topic" ma:default="Strategic solution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608f39-3744-4f2b-8ddf-6077ea9dcf84"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Length (seconds)" ma:internalName="MediaLengthInSeconds" ma:readOnly="true">
      <xsd:simpleType>
        <xsd:restriction base="dms:Unknown"/>
      </xsd:simpleType>
    </xsd:element>
    <xsd:element name="MediaServiceAutoTags" ma:index="33" nillable="true" ma:displayName="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b1b97e-58d0-4f82-aacc-4a7d6fa43521"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Strategic solutions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Team xmlns="662745e8-e224-48e8-a2e3-254862b8c2f5">Natural England Programmes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Props1.xml><?xml version="1.0" encoding="utf-8"?>
<ds:datastoreItem xmlns:ds="http://schemas.openxmlformats.org/officeDocument/2006/customXml" ds:itemID="{33423FF0-2128-4B40-B219-96F14716749B}">
  <ds:schemaRefs>
    <ds:schemaRef ds:uri="http://schemas.microsoft.com/sharepoint/v3/contenttype/forms"/>
  </ds:schemaRefs>
</ds:datastoreItem>
</file>

<file path=customXml/itemProps2.xml><?xml version="1.0" encoding="utf-8"?>
<ds:datastoreItem xmlns:ds="http://schemas.openxmlformats.org/officeDocument/2006/customXml" ds:itemID="{D6B50772-F3E1-49A1-92AF-60DBBBD76EC5}">
  <ds:schemaRefs>
    <ds:schemaRef ds:uri="Microsoft.SharePoint.Taxonomy.ContentTypeSync"/>
  </ds:schemaRefs>
</ds:datastoreItem>
</file>

<file path=customXml/itemProps3.xml><?xml version="1.0" encoding="utf-8"?>
<ds:datastoreItem xmlns:ds="http://schemas.openxmlformats.org/officeDocument/2006/customXml" ds:itemID="{A2518AFA-FD57-4558-B2ED-21DDD9DDFF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50608f39-3744-4f2b-8ddf-6077ea9dcf84"/>
    <ds:schemaRef ds:uri="41b1b97e-58d0-4f82-aacc-4a7d6fa435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5A15356-8177-4E6B-B307-B4FFAE441203}">
  <ds:schemaRefs>
    <ds:schemaRef ds:uri="http://schemas.microsoft.com/office/2006/metadata/properties"/>
    <ds:schemaRef ds:uri="http://schemas.microsoft.com/office/infopath/2007/PartnerControls"/>
    <ds:schemaRef ds:uri="662745e8-e224-48e8-a2e3-254862b8c2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vt:lpstr>
      <vt:lpstr>Background</vt:lpstr>
      <vt:lpstr>Teesmouth &amp; Cleveland Coast SPA</vt:lpstr>
      <vt:lpstr>Instructions</vt:lpstr>
      <vt:lpstr>Development site details</vt:lpstr>
      <vt:lpstr>Stage 1</vt:lpstr>
      <vt:lpstr>Stage 2</vt:lpstr>
      <vt:lpstr>Stage 3</vt:lpstr>
      <vt:lpstr>Stage 4</vt:lpstr>
      <vt:lpstr>Stage 4 (2)</vt:lpstr>
      <vt:lpstr>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Sealy, Declan</dc:creator>
  <cp:keywords/>
  <dc:description/>
  <cp:lastModifiedBy>Thompson, Simon (NE)</cp:lastModifiedBy>
  <cp:revision/>
  <dcterms:created xsi:type="dcterms:W3CDTF">2021-10-14T13:24:34Z</dcterms:created>
  <dcterms:modified xsi:type="dcterms:W3CDTF">2022-04-19T13:41:28Z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0x010100A5BF1C78D9F64B679A5EBDE1C6598EBC01001709A144B6CB1247B0EB17D39170EEBB</vt:lpwstr>
  </property>
  <property fmtid="{D5CDD505-2E9C-101B-9397-08002B2CF9AE}" pid="3" name="HOGovernmentSecurityClassification">
    <vt:lpwstr>6;#Official|14c80daa-741b-422c-9722-f71693c9ede4</vt:lpwstr>
  </property>
  <property fmtid="{D5CDD505-2E9C-101B-9397-08002B2CF9AE}" pid="4" name="InformationType">
    <vt:lpwstr/>
  </property>
  <property fmtid="{D5CDD505-2E9C-101B-9397-08002B2CF9AE}" pid="5" name="HOSiteType">
    <vt:lpwstr>10;#Team|ff0485df-0575-416f-802f-e999165821b7</vt:lpwstr>
  </property>
  <property fmtid="{D5CDD505-2E9C-101B-9397-08002B2CF9AE}" pid="6" name="Distribution">
    <vt:lpwstr>9;#Internal Defra Group|0867f7b3-e76e-40ca-bb1f-5ba341a49230</vt:lpwstr>
  </property>
  <property fmtid="{D5CDD505-2E9C-101B-9397-08002B2CF9AE}" pid="7" name="OrganisationalUnit">
    <vt:lpwstr>8;#NE|275df9ce-cd92-4318-adfe-db572e51c7ff</vt:lpwstr>
  </property>
  <property fmtid="{D5CDD505-2E9C-101B-9397-08002B2CF9AE}" pid="8" name="HOCopyrightLevel">
    <vt:lpwstr>7;#Crown|69589897-2828-4761-976e-717fd8e631c9</vt:lpwstr>
  </property>
</Properties>
</file>